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sya\Desktop\на сайт\"/>
    </mc:Choice>
  </mc:AlternateContent>
  <bookViews>
    <workbookView xWindow="0" yWindow="0" windowWidth="28800" windowHeight="12000" activeTab="1"/>
  </bookViews>
  <sheets>
    <sheet name="Уровень исп. ГЗ" sheetId="1" r:id="rId1"/>
    <sheet name="Оценка эффективности рук." sheetId="2" r:id="rId2"/>
  </sheets>
  <externalReferences>
    <externalReference r:id="rId3"/>
  </externalReferences>
  <definedNames>
    <definedName name="_xlnm.Print_Area" localSheetId="1">'Оценка эффективности рук.'!$A$1:$O$53</definedName>
    <definedName name="_xlnm.Print_Area" localSheetId="0">'Уровень исп. ГЗ'!$A$1:$U$79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5" i="2" l="1"/>
  <c r="B45" i="2"/>
  <c r="N45" i="2" s="1"/>
  <c r="O45" i="2" s="1"/>
  <c r="I44" i="2"/>
  <c r="B44" i="2"/>
  <c r="N44" i="2" s="1"/>
  <c r="O44" i="2" s="1"/>
  <c r="I43" i="2"/>
  <c r="B43" i="2"/>
  <c r="N43" i="2" s="1"/>
  <c r="O43" i="2" s="1"/>
  <c r="I42" i="2"/>
  <c r="B42" i="2"/>
  <c r="N42" i="2" s="1"/>
  <c r="O42" i="2" s="1"/>
  <c r="I41" i="2"/>
  <c r="B41" i="2"/>
  <c r="N41" i="2" s="1"/>
  <c r="O41" i="2" s="1"/>
  <c r="I40" i="2"/>
  <c r="B40" i="2"/>
  <c r="N40" i="2" s="1"/>
  <c r="O40" i="2" s="1"/>
  <c r="I39" i="2"/>
  <c r="B39" i="2"/>
  <c r="N39" i="2" s="1"/>
  <c r="O39" i="2" s="1"/>
  <c r="I38" i="2"/>
  <c r="B38" i="2"/>
  <c r="N38" i="2" s="1"/>
  <c r="O38" i="2" s="1"/>
  <c r="I37" i="2"/>
  <c r="B37" i="2"/>
  <c r="N37" i="2" s="1"/>
  <c r="O37" i="2" s="1"/>
  <c r="I36" i="2"/>
  <c r="B36" i="2"/>
  <c r="N36" i="2" s="1"/>
  <c r="O36" i="2" s="1"/>
  <c r="I35" i="2"/>
  <c r="B35" i="2"/>
  <c r="N35" i="2" s="1"/>
  <c r="O35" i="2" s="1"/>
  <c r="I34" i="2"/>
  <c r="B34" i="2"/>
  <c r="N34" i="2" s="1"/>
  <c r="O34" i="2" s="1"/>
  <c r="I33" i="2"/>
  <c r="B33" i="2"/>
  <c r="N33" i="2" s="1"/>
  <c r="O33" i="2" s="1"/>
  <c r="I32" i="2"/>
  <c r="B32" i="2"/>
  <c r="N32" i="2" s="1"/>
  <c r="O32" i="2" s="1"/>
  <c r="I31" i="2"/>
  <c r="B31" i="2"/>
  <c r="N31" i="2" s="1"/>
  <c r="O31" i="2" s="1"/>
  <c r="I30" i="2"/>
  <c r="B30" i="2"/>
  <c r="N30" i="2" s="1"/>
  <c r="O30" i="2" s="1"/>
  <c r="I29" i="2"/>
  <c r="B29" i="2"/>
  <c r="N29" i="2" s="1"/>
  <c r="O29" i="2" s="1"/>
  <c r="I28" i="2"/>
  <c r="B28" i="2"/>
  <c r="N28" i="2" s="1"/>
  <c r="O28" i="2" s="1"/>
  <c r="I27" i="2"/>
  <c r="B27" i="2"/>
  <c r="N27" i="2" s="1"/>
  <c r="O27" i="2" s="1"/>
  <c r="I26" i="2"/>
  <c r="B26" i="2"/>
  <c r="N26" i="2" s="1"/>
  <c r="O26" i="2" s="1"/>
  <c r="I25" i="2"/>
  <c r="B25" i="2"/>
  <c r="N25" i="2" s="1"/>
  <c r="O25" i="2" s="1"/>
  <c r="I24" i="2"/>
  <c r="B24" i="2"/>
  <c r="N24" i="2" s="1"/>
  <c r="O24" i="2" s="1"/>
  <c r="I23" i="2"/>
  <c r="B23" i="2"/>
  <c r="N23" i="2" s="1"/>
  <c r="O23" i="2" s="1"/>
  <c r="I22" i="2"/>
  <c r="B22" i="2"/>
  <c r="N22" i="2" s="1"/>
  <c r="O22" i="2" s="1"/>
  <c r="I21" i="2"/>
  <c r="B21" i="2"/>
  <c r="N21" i="2" s="1"/>
  <c r="O21" i="2" s="1"/>
  <c r="I20" i="2"/>
  <c r="B20" i="2"/>
  <c r="N20" i="2" s="1"/>
  <c r="O20" i="2" s="1"/>
  <c r="I19" i="2"/>
  <c r="B19" i="2"/>
  <c r="N19" i="2" s="1"/>
  <c r="O19" i="2" s="1"/>
  <c r="I18" i="2"/>
  <c r="B18" i="2"/>
  <c r="N18" i="2" s="1"/>
  <c r="O18" i="2" s="1"/>
  <c r="I17" i="2"/>
  <c r="B17" i="2"/>
  <c r="N17" i="2" s="1"/>
  <c r="O17" i="2" s="1"/>
  <c r="I16" i="2"/>
  <c r="B16" i="2"/>
  <c r="N16" i="2" s="1"/>
  <c r="O16" i="2" s="1"/>
  <c r="I15" i="2"/>
  <c r="B15" i="2"/>
  <c r="N15" i="2" s="1"/>
  <c r="O15" i="2" s="1"/>
  <c r="I14" i="2"/>
  <c r="B14" i="2"/>
  <c r="N14" i="2" s="1"/>
  <c r="O14" i="2" s="1"/>
  <c r="I13" i="2"/>
  <c r="B13" i="2"/>
  <c r="N13" i="2" s="1"/>
  <c r="O13" i="2" s="1"/>
  <c r="N12" i="2"/>
  <c r="O12" i="2" s="1"/>
  <c r="B12" i="2"/>
  <c r="I11" i="2"/>
  <c r="N11" i="2" s="1"/>
  <c r="O11" i="2" s="1"/>
  <c r="B11" i="2"/>
  <c r="I10" i="2"/>
  <c r="N10" i="2" s="1"/>
  <c r="O10" i="2" s="1"/>
  <c r="B10" i="2"/>
  <c r="I9" i="2"/>
  <c r="N9" i="2" s="1"/>
  <c r="O9" i="2" s="1"/>
  <c r="B9" i="2"/>
  <c r="I8" i="2"/>
  <c r="N8" i="2" s="1"/>
  <c r="O8" i="2" s="1"/>
  <c r="B8" i="2"/>
  <c r="I7" i="2"/>
  <c r="N7" i="2" s="1"/>
  <c r="O7" i="2" s="1"/>
  <c r="B7" i="2"/>
  <c r="I6" i="2"/>
  <c r="N6" i="2" s="1"/>
  <c r="O6" i="2" s="1"/>
  <c r="B6" i="2"/>
  <c r="D87" i="1"/>
  <c r="O79" i="1"/>
  <c r="D79" i="1"/>
  <c r="E79" i="1" s="1"/>
  <c r="L74" i="1"/>
  <c r="H74" i="1"/>
  <c r="I74" i="1" s="1"/>
  <c r="E74" i="1"/>
  <c r="C74" i="1"/>
  <c r="O73" i="1"/>
  <c r="L73" i="1"/>
  <c r="C73" i="1"/>
  <c r="E73" i="1" s="1"/>
  <c r="O72" i="1"/>
  <c r="H72" i="1"/>
  <c r="I72" i="1" s="1"/>
  <c r="E72" i="1"/>
  <c r="D72" i="1"/>
  <c r="C72" i="1"/>
  <c r="O66" i="1"/>
  <c r="H66" i="1"/>
  <c r="I66" i="1" s="1"/>
  <c r="E66" i="1"/>
  <c r="O65" i="1"/>
  <c r="H65" i="1"/>
  <c r="I65" i="1" s="1"/>
  <c r="E65" i="1"/>
  <c r="E64" i="1"/>
  <c r="O63" i="1"/>
  <c r="H63" i="1"/>
  <c r="I63" i="1" s="1"/>
  <c r="E63" i="1"/>
  <c r="I58" i="1"/>
  <c r="F58" i="1"/>
  <c r="C58" i="1"/>
  <c r="J57" i="1"/>
  <c r="K57" i="1" s="1"/>
  <c r="L57" i="1" s="1"/>
  <c r="P57" i="1" s="1"/>
  <c r="G57" i="1"/>
  <c r="D57" i="1"/>
  <c r="D58" i="1" s="1"/>
  <c r="G56" i="1"/>
  <c r="E56" i="1"/>
  <c r="L55" i="1"/>
  <c r="P55" i="1" s="1"/>
  <c r="J55" i="1"/>
  <c r="J58" i="1" s="1"/>
  <c r="G55" i="1"/>
  <c r="G58" i="1" s="1"/>
  <c r="J50" i="1"/>
  <c r="W79" i="1" s="1"/>
  <c r="I50" i="1"/>
  <c r="F50" i="1"/>
  <c r="C50" i="1"/>
  <c r="K49" i="1"/>
  <c r="G49" i="1"/>
  <c r="H49" i="1" s="1"/>
  <c r="L49" i="1" s="1"/>
  <c r="K48" i="1"/>
  <c r="G48" i="1"/>
  <c r="H48" i="1" s="1"/>
  <c r="L48" i="1" s="1"/>
  <c r="D48" i="1"/>
  <c r="L47" i="1"/>
  <c r="K47" i="1"/>
  <c r="G47" i="1"/>
  <c r="D47" i="1"/>
  <c r="L46" i="1"/>
  <c r="G46" i="1"/>
  <c r="D46" i="1"/>
  <c r="L45" i="1"/>
  <c r="G45" i="1"/>
  <c r="G50" i="1" s="1"/>
  <c r="D45" i="1"/>
  <c r="D50" i="1" s="1"/>
  <c r="R39" i="1"/>
  <c r="O39" i="1"/>
  <c r="S39" i="1" s="1"/>
  <c r="K39" i="1"/>
  <c r="R33" i="1"/>
  <c r="Q33" i="1"/>
  <c r="K33" i="1"/>
  <c r="J33" i="1"/>
  <c r="C33" i="1"/>
  <c r="S32" i="1"/>
  <c r="L32" i="1"/>
  <c r="P32" i="1" s="1"/>
  <c r="I32" i="1"/>
  <c r="S31" i="1"/>
  <c r="P31" i="1"/>
  <c r="I31" i="1"/>
  <c r="T31" i="1" s="1"/>
  <c r="S30" i="1"/>
  <c r="L30" i="1"/>
  <c r="P30" i="1" s="1"/>
  <c r="K30" i="1"/>
  <c r="D30" i="1"/>
  <c r="D33" i="1" s="1"/>
  <c r="P29" i="1"/>
  <c r="E29" i="1"/>
  <c r="I29" i="1" s="1"/>
  <c r="T29" i="1" s="1"/>
  <c r="P28" i="1"/>
  <c r="I28" i="1"/>
  <c r="T28" i="1" s="1"/>
  <c r="T27" i="1"/>
  <c r="S27" i="1"/>
  <c r="P27" i="1"/>
  <c r="I27" i="1"/>
  <c r="O26" i="1"/>
  <c r="L26" i="1"/>
  <c r="P26" i="1" s="1"/>
  <c r="I26" i="1"/>
  <c r="T26" i="1" s="1"/>
  <c r="P25" i="1"/>
  <c r="I25" i="1"/>
  <c r="T25" i="1" s="1"/>
  <c r="P24" i="1"/>
  <c r="E24" i="1"/>
  <c r="I24" i="1" s="1"/>
  <c r="T24" i="1" s="1"/>
  <c r="O23" i="1"/>
  <c r="P23" i="1" s="1"/>
  <c r="T23" i="1" s="1"/>
  <c r="I23" i="1"/>
  <c r="S22" i="1"/>
  <c r="P22" i="1"/>
  <c r="E22" i="1"/>
  <c r="I22" i="1" s="1"/>
  <c r="T22" i="1" s="1"/>
  <c r="R18" i="1"/>
  <c r="Q18" i="1"/>
  <c r="K18" i="1"/>
  <c r="J18" i="1"/>
  <c r="D18" i="1"/>
  <c r="C18" i="1"/>
  <c r="P17" i="1"/>
  <c r="T17" i="1" s="1"/>
  <c r="I17" i="1"/>
  <c r="S16" i="1"/>
  <c r="P16" i="1"/>
  <c r="L16" i="1"/>
  <c r="E16" i="1"/>
  <c r="I16" i="1" s="1"/>
  <c r="T16" i="1" s="1"/>
  <c r="S15" i="1"/>
  <c r="L15" i="1"/>
  <c r="P15" i="1" s="1"/>
  <c r="I15" i="1"/>
  <c r="T15" i="1" s="1"/>
  <c r="O14" i="1"/>
  <c r="E14" i="1"/>
  <c r="I14" i="1" s="1"/>
  <c r="T14" i="1" s="1"/>
  <c r="P13" i="1"/>
  <c r="I13" i="1"/>
  <c r="T13" i="1" s="1"/>
  <c r="O12" i="1"/>
  <c r="P12" i="1" s="1"/>
  <c r="T12" i="1" s="1"/>
  <c r="I12" i="1"/>
  <c r="T11" i="1"/>
  <c r="P11" i="1"/>
  <c r="I11" i="1"/>
  <c r="P10" i="1"/>
  <c r="T10" i="1" s="1"/>
  <c r="I10" i="1"/>
  <c r="O9" i="1"/>
  <c r="P9" i="1" s="1"/>
  <c r="T9" i="1" s="1"/>
  <c r="I9" i="1"/>
  <c r="P8" i="1"/>
  <c r="I8" i="1"/>
  <c r="T8" i="1" s="1"/>
  <c r="S7" i="1"/>
  <c r="L7" i="1"/>
  <c r="P7" i="1" s="1"/>
  <c r="E7" i="1"/>
  <c r="I7" i="1" s="1"/>
  <c r="P6" i="1"/>
  <c r="O6" i="1"/>
  <c r="L6" i="1"/>
  <c r="I6" i="1"/>
  <c r="T6" i="1" s="1"/>
  <c r="I79" i="1" l="1"/>
  <c r="P79" i="1"/>
  <c r="T7" i="1"/>
  <c r="T32" i="1"/>
  <c r="P64" i="1"/>
  <c r="P66" i="1"/>
  <c r="I73" i="1"/>
  <c r="P73" i="1"/>
  <c r="P74" i="1"/>
  <c r="P56" i="1"/>
  <c r="P63" i="1"/>
  <c r="P65" i="1"/>
  <c r="P72" i="1"/>
  <c r="E30" i="1"/>
  <c r="I30" i="1" s="1"/>
  <c r="T30" i="1" s="1"/>
  <c r="L56" i="1"/>
  <c r="I64" i="1"/>
</calcChain>
</file>

<file path=xl/sharedStrings.xml><?xml version="1.0" encoding="utf-8"?>
<sst xmlns="http://schemas.openxmlformats.org/spreadsheetml/2006/main" count="318" uniqueCount="148">
  <si>
    <t>Уровень исполнения Государственного задания за 2 квартал 2018 года</t>
  </si>
  <si>
    <t>№</t>
  </si>
  <si>
    <t>Наименование учреждения</t>
  </si>
  <si>
    <t>Показатели качества</t>
  </si>
  <si>
    <t>N усл</t>
  </si>
  <si>
    <t>Показатели объема</t>
  </si>
  <si>
    <t>Показатели объема работы</t>
  </si>
  <si>
    <t>N кач</t>
  </si>
  <si>
    <t>Доходы (тыс.руб.)</t>
  </si>
  <si>
    <t>N доход</t>
  </si>
  <si>
    <t xml:space="preserve">N задание
Уровень исполнения ГЗ (%) </t>
  </si>
  <si>
    <t>Число баллов</t>
  </si>
  <si>
    <t>Количество публичных показов спектаклей (единиц)</t>
  </si>
  <si>
    <t>Количество публичных показов спектаклей, на гастролях (единиц)</t>
  </si>
  <si>
    <t>Число обслуженных (зрителей)</t>
  </si>
  <si>
    <t>Количество новых постановок (единиц)</t>
  </si>
  <si>
    <t>план</t>
  </si>
  <si>
    <t>факт</t>
  </si>
  <si>
    <t>Русский театр</t>
  </si>
  <si>
    <t>Аварский театр</t>
  </si>
  <si>
    <t>Кумыкский театр</t>
  </si>
  <si>
    <t>Даргинский театр</t>
  </si>
  <si>
    <t>Лезгинский театр</t>
  </si>
  <si>
    <t>Лакский театр</t>
  </si>
  <si>
    <t>Театр кукол</t>
  </si>
  <si>
    <t>Театр оперы и бал.</t>
  </si>
  <si>
    <t>Азербайджанский т.</t>
  </si>
  <si>
    <t>Ногайский театр</t>
  </si>
  <si>
    <t>Табасаранский театр</t>
  </si>
  <si>
    <t>Театр поэзии</t>
  </si>
  <si>
    <t xml:space="preserve"> Количество новых концертов (единиц)</t>
  </si>
  <si>
    <t>Даггосфилармония</t>
  </si>
  <si>
    <t>Анс. Дагестан</t>
  </si>
  <si>
    <t>Молодость Дагест.</t>
  </si>
  <si>
    <t>Ногайский оркестр</t>
  </si>
  <si>
    <t>Терский каз. ансамб.</t>
  </si>
  <si>
    <t>Оркестр нар. инстр</t>
  </si>
  <si>
    <t>Анс. Айланай</t>
  </si>
  <si>
    <t>Дагестан концерт</t>
  </si>
  <si>
    <t>Анс. Лезгинка</t>
  </si>
  <si>
    <t>Анс. Каспий</t>
  </si>
  <si>
    <t>Чародинский хор</t>
  </si>
  <si>
    <t>N задание</t>
  </si>
  <si>
    <t>Количество подготовленных новых мероприятий (единиц)</t>
  </si>
  <si>
    <t>Организация деятельности клубных формирований самодеятельного народного творчества (единиц)</t>
  </si>
  <si>
    <t>Количество участников мероприятий (человек)</t>
  </si>
  <si>
    <t>Количество проведенных мероприятий 
(единиц)</t>
  </si>
  <si>
    <t>ГБУК РД «Республиканский дом народного творчества»</t>
  </si>
  <si>
    <t>музеи</t>
  </si>
  <si>
    <t xml:space="preserve"> Количество экспозиций и выставок
(единиц)</t>
  </si>
  <si>
    <t>Количество посетителей музейных экспозиций 
(чел.)</t>
  </si>
  <si>
    <t>ГБУ РД «Национальный музей РД им. А. Тахо-Годи»</t>
  </si>
  <si>
    <t>ГБУ РД «Дагестанский музей изобразительных искусств им. П.С. Гамзатовой»</t>
  </si>
  <si>
    <t>ГБУ РД «Дербентский государственный историко-архитектурный и художественный музей-заповедник»</t>
  </si>
  <si>
    <t>ГБУ РД «Музей-заповедник – этнографический комплекс «Дагестанский аул»</t>
  </si>
  <si>
    <t>ГБУ РД «Музей истории мировых культур и религий»</t>
  </si>
  <si>
    <t>библиотеки</t>
  </si>
  <si>
    <t>Предоставление библиографической информации из государственных библиотечных фондов и информации из государственных библиотечных фондов в части, не касающейся авторских прав(единиц)</t>
  </si>
  <si>
    <t>количество пользователей, удовлетворенных качеством услуг библиотеки   (чел.)</t>
  </si>
  <si>
    <t>Количество посещений
 (чел.)</t>
  </si>
  <si>
    <t>ГБУ РД «Национальная библиотека Республики Дагестан им. Р. Гамзатова»</t>
  </si>
  <si>
    <t>ГБУ РД «Республиканская детская библиотека им. Н. Юсупова»</t>
  </si>
  <si>
    <t>ГБУ РД «Республиканская специальная библиотека для слепых»</t>
  </si>
  <si>
    <t>Объем работы</t>
  </si>
  <si>
    <t>Количество обучающихся</t>
  </si>
  <si>
    <t>Количество обучающихся успешно сдавших промежуточную аттестацию</t>
  </si>
  <si>
    <t>Количество проведенных  мероприятий (штука)</t>
  </si>
  <si>
    <t>ГБПОУ РД «Дагестанский  колледж культуры и искусств им. Б. Мурадовой»</t>
  </si>
  <si>
    <t>ГБПОУ РД «Дагестанское художественное училище им. М.А. Джемала»</t>
  </si>
  <si>
    <t>ГБПОУ РД «Махачкалинское музыкальное училище им Г.Гасанова"</t>
  </si>
  <si>
    <t>ГБПОУ РД «Дербентское музыкальное училище»</t>
  </si>
  <si>
    <t>Количество человеко-часов</t>
  </si>
  <si>
    <t>Количество проведенных мероприятий (един.)</t>
  </si>
  <si>
    <t>ГБУДО РД «Республиканская школа циркового искусства»</t>
  </si>
  <si>
    <t>ГБУДО РД  «Республиканская школа искусств им. Барият Мурадовой»</t>
  </si>
  <si>
    <t>ГБУДО РД «Республиканская школа искусств М. Кажлаева для особо одаренных детей»</t>
  </si>
  <si>
    <t>Количество проведенных мероприятий (штук)</t>
  </si>
  <si>
    <t>РУМЦ</t>
  </si>
  <si>
    <t>Оценка эффективности работы руководителей подведомственных организаций за 2 квартал в 2018 г. в соответствии приказами Министерства культуры РД Приказ № 483 от 23 июня 2014 года  "Об утверждении показателей эффективности работы руководителей и учреждений" и Приказ № 1149 29 декабря 2014 года  "О премировании руководителей государственных учреждений, подведомственных Министерству культуры Республики Дагестан"</t>
  </si>
  <si>
    <t>Наименование показателя</t>
  </si>
  <si>
    <t xml:space="preserve">1.1 Достижение контрольного показателя выполнения государственного задания </t>
  </si>
  <si>
    <t>2.1 Соблюдение сроков выплаты заработной платы работникам учреждения</t>
  </si>
  <si>
    <t>2.1 Отсутствие просроченной задолженности по уплате налогов, сборов и иных обязательных платежей в бюджеты всех уровней и внебюджетные фонды</t>
  </si>
  <si>
    <t xml:space="preserve">2.3 Отсутствие финансовых и налоговых нарушений, выявленных в ходе проведения проверок уполномоченными органами </t>
  </si>
  <si>
    <t xml:space="preserve">3.1 обеспечение установленного роста средней заработной платы работников учреждения, повышение заработной платы которым предусмотрено Указом Президента РФ от 07.05.2012 № 597 </t>
  </si>
  <si>
    <t>4.1 Своевременное и качественное исполнение поручений Министерства культуры РД (приказов распоряжений указаний протоколов совещаний), соблюдение сроков и порядка предоставления статистической и бухгалтерской отчетности</t>
  </si>
  <si>
    <t>4.2 Отсутствие предписаний, представлений контрольно надзорных органов</t>
  </si>
  <si>
    <t>Итого баллов</t>
  </si>
  <si>
    <t>Оценка эффективности деятельности руководителя (%)</t>
  </si>
  <si>
    <t>Форма отчетности</t>
  </si>
  <si>
    <t>Отчет учреждения о выполнении госзадания</t>
  </si>
  <si>
    <t>информационная справка учреждения о сроках выплаты работникам учреждения зарплаты</t>
  </si>
  <si>
    <t xml:space="preserve">справки терр. Налогового органа о состоянии расчетов по налогам сборам пеням на 1 число квартала </t>
  </si>
  <si>
    <t>акт о результатах проведения проверок</t>
  </si>
  <si>
    <t>Отчет ЗП( обеспечение роста з/пл)</t>
  </si>
  <si>
    <t>служебная записка отделов министерства культуры РД</t>
  </si>
  <si>
    <t>акт проверки, предписания контрольно надзорных органов</t>
  </si>
  <si>
    <t>Формула расчета уровня достижения планового показателя</t>
  </si>
  <si>
    <t xml:space="preserve">100%&lt;P* 
100%&gt;P*&gt;85%
P*&lt;85% </t>
  </si>
  <si>
    <t>соблюдение сроков</t>
  </si>
  <si>
    <t>нарушение сроков</t>
  </si>
  <si>
    <t>отсуствие задолженности</t>
  </si>
  <si>
    <t>наличие задолженности</t>
  </si>
  <si>
    <t>отстуствие нарушений</t>
  </si>
  <si>
    <t>наличие нарушений</t>
  </si>
  <si>
    <t xml:space="preserve">своевременное </t>
  </si>
  <si>
    <t>несвоевременное</t>
  </si>
  <si>
    <t xml:space="preserve">наличие </t>
  </si>
  <si>
    <t>отсутствие</t>
  </si>
  <si>
    <t>Количество баллов</t>
  </si>
  <si>
    <t>100
85
0</t>
  </si>
  <si>
    <t>100
85
-50</t>
  </si>
  <si>
    <t>РДНТ</t>
  </si>
  <si>
    <t>ДГОМ</t>
  </si>
  <si>
    <t>ИЗО</t>
  </si>
  <si>
    <t>Заповедник</t>
  </si>
  <si>
    <t>АУЛ</t>
  </si>
  <si>
    <t>Музей мир.религий</t>
  </si>
  <si>
    <t>РБ</t>
  </si>
  <si>
    <t>Детская</t>
  </si>
  <si>
    <t>Слепых</t>
  </si>
  <si>
    <t>Русский драмтеатр</t>
  </si>
  <si>
    <t xml:space="preserve">Аварский муз драм. </t>
  </si>
  <si>
    <t xml:space="preserve">Кумыкский муз драм.  </t>
  </si>
  <si>
    <t xml:space="preserve">Даргинский муз драм. </t>
  </si>
  <si>
    <t xml:space="preserve">Лезгинский муз драм. </t>
  </si>
  <si>
    <t>Театр оперы и балета</t>
  </si>
  <si>
    <t>Ансамбль «Дагестан»</t>
  </si>
  <si>
    <t>Ансамбль "Мол.Даг"</t>
  </si>
  <si>
    <t>Терский казачий анс.</t>
  </si>
  <si>
    <t>Оркестр народных инс.</t>
  </si>
  <si>
    <t>Айланай</t>
  </si>
  <si>
    <t>Дагконцерт</t>
  </si>
  <si>
    <t>«Лезгинка»</t>
  </si>
  <si>
    <t>Каспий</t>
  </si>
  <si>
    <t>ДККИ</t>
  </si>
  <si>
    <t>ДХУ</t>
  </si>
  <si>
    <t>ММУ</t>
  </si>
  <si>
    <t>ДМУ</t>
  </si>
  <si>
    <t>Цирковая</t>
  </si>
  <si>
    <t>Школа искусств</t>
  </si>
  <si>
    <t>Кажлаев</t>
  </si>
  <si>
    <t>Врио министра                                                                                                                                                                                                                                              З.Бутаева</t>
  </si>
  <si>
    <t>Начальник планово-экономического отдела                                                                                                                                                                                       Д.Нурахмедова</t>
  </si>
  <si>
    <t>Даг.концерт и Лакский не обновили бас.гов.ру</t>
  </si>
  <si>
    <t>многолетняя задолженность
 аул кредиторская задолженность по з/п - 300 тыс.</t>
  </si>
  <si>
    <t>филармония дебиторская задолженность  оборудование - 12 млн</t>
  </si>
  <si>
    <t xml:space="preserve">1с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</si>
</sst>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&quot;р.&quot;_-;\-* #,##0.00&quot;р.&quot;_-;_-* &quot;-&quot;??&quot;р.&quot;_-;_-@_-"/>
    <numFmt numFmtId="164" formatCode="#,##0.0"/>
    <numFmt numFmtId="165" formatCode="0.0"/>
  </numFmts>
  <fonts count="3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1"/>
      <color theme="4" tint="-0.49998474074526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4" tint="-0.249977111117893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4" tint="-0.249977111117893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63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9">
    <xf numFmtId="0" fontId="0" fillId="0" borderId="0" xfId="0"/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44" fontId="6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44" fontId="6" fillId="0" borderId="3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44" fontId="6" fillId="0" borderId="4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right" vertical="top" wrapText="1"/>
    </xf>
    <xf numFmtId="0" fontId="8" fillId="2" borderId="1" xfId="0" applyFont="1" applyFill="1" applyBorder="1" applyAlignment="1">
      <alignment horizontal="right" vertical="top" wrapText="1"/>
    </xf>
    <xf numFmtId="4" fontId="6" fillId="2" borderId="1" xfId="0" applyNumberFormat="1" applyFont="1" applyFill="1" applyBorder="1" applyAlignment="1">
      <alignment horizontal="right" vertical="top" wrapText="1"/>
    </xf>
    <xf numFmtId="3" fontId="8" fillId="2" borderId="5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right" vertical="top" wrapText="1"/>
    </xf>
    <xf numFmtId="4" fontId="7" fillId="2" borderId="1" xfId="0" applyNumberFormat="1" applyFont="1" applyFill="1" applyBorder="1" applyAlignment="1">
      <alignment horizontal="right" vertical="top" wrapText="1"/>
    </xf>
    <xf numFmtId="164" fontId="2" fillId="2" borderId="1" xfId="0" applyNumberFormat="1" applyFont="1" applyFill="1" applyBorder="1" applyAlignment="1">
      <alignment horizontal="right" vertical="top" wrapText="1"/>
    </xf>
    <xf numFmtId="3" fontId="2" fillId="2" borderId="1" xfId="0" applyNumberFormat="1" applyFont="1" applyFill="1" applyBorder="1" applyAlignment="1">
      <alignment horizontal="right" vertical="top" wrapText="1"/>
    </xf>
    <xf numFmtId="164" fontId="9" fillId="2" borderId="1" xfId="0" applyNumberFormat="1" applyFont="1" applyFill="1" applyBorder="1" applyAlignment="1">
      <alignment horizontal="right" vertical="top" wrapText="1"/>
    </xf>
    <xf numFmtId="0" fontId="5" fillId="2" borderId="1" xfId="0" applyFont="1" applyFill="1" applyBorder="1" applyAlignment="1">
      <alignment horizontal="right" vertical="top" wrapText="1"/>
    </xf>
    <xf numFmtId="0" fontId="2" fillId="2" borderId="0" xfId="0" applyFont="1" applyFill="1" applyAlignment="1">
      <alignment vertical="top" wrapText="1"/>
    </xf>
    <xf numFmtId="0" fontId="9" fillId="2" borderId="1" xfId="0" applyFont="1" applyFill="1" applyBorder="1" applyAlignment="1">
      <alignment horizontal="right" vertical="top" wrapText="1"/>
    </xf>
    <xf numFmtId="3" fontId="9" fillId="2" borderId="1" xfId="0" applyNumberFormat="1" applyFont="1" applyFill="1" applyBorder="1" applyAlignment="1">
      <alignment horizontal="right" vertical="top" wrapText="1"/>
    </xf>
    <xf numFmtId="0" fontId="4" fillId="2" borderId="1" xfId="0" applyFont="1" applyFill="1" applyBorder="1" applyAlignment="1">
      <alignment horizontal="right" vertical="top" wrapText="1"/>
    </xf>
    <xf numFmtId="3" fontId="4" fillId="2" borderId="1" xfId="0" applyNumberFormat="1" applyFont="1" applyFill="1" applyBorder="1" applyAlignment="1">
      <alignment horizontal="right" vertical="top" wrapText="1"/>
    </xf>
    <xf numFmtId="0" fontId="2" fillId="3" borderId="0" xfId="0" applyFont="1" applyFill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right" vertical="top" wrapText="1"/>
    </xf>
    <xf numFmtId="4" fontId="6" fillId="0" borderId="7" xfId="0" applyNumberFormat="1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4" fontId="6" fillId="0" borderId="5" xfId="0" applyNumberFormat="1" applyFont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center" vertical="top" wrapText="1"/>
    </xf>
    <xf numFmtId="3" fontId="2" fillId="0" borderId="6" xfId="0" applyNumberFormat="1" applyFont="1" applyBorder="1" applyAlignment="1">
      <alignment horizontal="right" vertical="top" wrapText="1"/>
    </xf>
    <xf numFmtId="1" fontId="2" fillId="0" borderId="7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top" wrapText="1"/>
    </xf>
    <xf numFmtId="4" fontId="7" fillId="0" borderId="0" xfId="0" applyNumberFormat="1" applyFont="1" applyBorder="1" applyAlignment="1">
      <alignment horizontal="center" vertical="top" wrapText="1"/>
    </xf>
    <xf numFmtId="0" fontId="2" fillId="0" borderId="0" xfId="0" applyFont="1" applyBorder="1" applyAlignment="1">
      <alignment horizontal="right" vertical="top" wrapText="1"/>
    </xf>
    <xf numFmtId="4" fontId="6" fillId="0" borderId="0" xfId="0" applyNumberFormat="1" applyFont="1" applyBorder="1" applyAlignment="1">
      <alignment horizontal="center" vertical="top" wrapText="1"/>
    </xf>
    <xf numFmtId="0" fontId="5" fillId="0" borderId="0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4" fontId="6" fillId="2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4" fontId="7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165" fontId="9" fillId="2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vertical="top" wrapText="1"/>
    </xf>
    <xf numFmtId="3" fontId="2" fillId="2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left" vertical="center"/>
    </xf>
    <xf numFmtId="3" fontId="2" fillId="0" borderId="0" xfId="0" applyNumberFormat="1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5" fontId="2" fillId="0" borderId="0" xfId="0" applyNumberFormat="1" applyFont="1" applyAlignment="1">
      <alignment vertical="top" wrapText="1"/>
    </xf>
    <xf numFmtId="0" fontId="2" fillId="0" borderId="0" xfId="0" applyFont="1" applyAlignment="1">
      <alignment wrapText="1"/>
    </xf>
    <xf numFmtId="0" fontId="2" fillId="0" borderId="0" xfId="0" applyFont="1"/>
    <xf numFmtId="0" fontId="6" fillId="2" borderId="1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0" fillId="2" borderId="7" xfId="0" applyFill="1" applyBorder="1" applyAlignment="1"/>
    <xf numFmtId="0" fontId="0" fillId="2" borderId="5" xfId="0" applyFill="1" applyBorder="1" applyAlignment="1"/>
    <xf numFmtId="0" fontId="5" fillId="2" borderId="2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4" fontId="6" fillId="2" borderId="6" xfId="0" applyNumberFormat="1" applyFont="1" applyFill="1" applyBorder="1" applyAlignment="1">
      <alignment horizontal="center" vertical="top" wrapText="1"/>
    </xf>
    <xf numFmtId="4" fontId="6" fillId="2" borderId="1" xfId="0" applyNumberFormat="1" applyFont="1" applyFill="1" applyBorder="1" applyAlignment="1">
      <alignment vertical="top" wrapText="1"/>
    </xf>
    <xf numFmtId="0" fontId="6" fillId="2" borderId="1" xfId="0" applyFont="1" applyFill="1" applyBorder="1" applyAlignment="1">
      <alignment vertical="top" wrapText="1"/>
    </xf>
    <xf numFmtId="4" fontId="6" fillId="2" borderId="8" xfId="0" applyNumberFormat="1" applyFont="1" applyFill="1" applyBorder="1" applyAlignment="1">
      <alignment horizontal="center" vertical="top" wrapText="1"/>
    </xf>
    <xf numFmtId="0" fontId="2" fillId="2" borderId="0" xfId="0" applyFont="1" applyFill="1" applyAlignment="1">
      <alignment wrapText="1"/>
    </xf>
    <xf numFmtId="0" fontId="2" fillId="2" borderId="0" xfId="0" applyFont="1" applyFill="1"/>
    <xf numFmtId="0" fontId="6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4" fontId="6" fillId="0" borderId="6" xfId="0" applyNumberFormat="1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vertical="top" wrapText="1"/>
    </xf>
    <xf numFmtId="3" fontId="2" fillId="0" borderId="1" xfId="0" applyNumberFormat="1" applyFont="1" applyFill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11" fillId="2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3" fontId="6" fillId="0" borderId="1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center" vertical="top" wrapText="1"/>
    </xf>
    <xf numFmtId="0" fontId="0" fillId="0" borderId="7" xfId="0" applyBorder="1"/>
    <xf numFmtId="0" fontId="0" fillId="0" borderId="5" xfId="0" applyBorder="1"/>
    <xf numFmtId="0" fontId="12" fillId="0" borderId="6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4" fontId="6" fillId="0" borderId="6" xfId="0" applyNumberFormat="1" applyFont="1" applyFill="1" applyBorder="1" applyAlignment="1">
      <alignment horizontal="center" vertical="top" wrapText="1"/>
    </xf>
    <xf numFmtId="4" fontId="6" fillId="0" borderId="1" xfId="0" applyNumberFormat="1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3" fontId="2" fillId="0" borderId="1" xfId="0" applyNumberFormat="1" applyFont="1" applyBorder="1" applyAlignment="1">
      <alignment horizontal="right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0" xfId="0" applyFont="1" applyBorder="1" applyAlignment="1">
      <alignment horizontal="center" vertical="top" wrapText="1"/>
    </xf>
    <xf numFmtId="0" fontId="11" fillId="2" borderId="0" xfId="0" applyFont="1" applyFill="1" applyBorder="1" applyAlignment="1">
      <alignment vertical="top" wrapText="1"/>
    </xf>
    <xf numFmtId="3" fontId="6" fillId="0" borderId="1" xfId="0" applyNumberFormat="1" applyFont="1" applyBorder="1" applyAlignment="1">
      <alignment horizontal="right" vertical="top" wrapText="1"/>
    </xf>
    <xf numFmtId="4" fontId="6" fillId="0" borderId="1" xfId="0" applyNumberFormat="1" applyFont="1" applyFill="1" applyBorder="1" applyAlignment="1">
      <alignment horizontal="center" vertical="top" wrapText="1"/>
    </xf>
    <xf numFmtId="3" fontId="6" fillId="0" borderId="1" xfId="0" applyNumberFormat="1" applyFont="1" applyFill="1" applyBorder="1" applyAlignment="1">
      <alignment horizontal="right" vertical="top" wrapText="1"/>
    </xf>
    <xf numFmtId="4" fontId="6" fillId="0" borderId="0" xfId="0" applyNumberFormat="1" applyFont="1" applyFill="1" applyBorder="1" applyAlignment="1">
      <alignment horizontal="center" vertical="top" wrapText="1"/>
    </xf>
    <xf numFmtId="4" fontId="6" fillId="0" borderId="0" xfId="0" applyNumberFormat="1" applyFont="1" applyFill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6" fillId="0" borderId="6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4" fontId="14" fillId="2" borderId="1" xfId="0" applyNumberFormat="1" applyFont="1" applyFill="1" applyBorder="1" applyAlignment="1">
      <alignment horizontal="right" vertical="top" wrapText="1"/>
    </xf>
    <xf numFmtId="0" fontId="9" fillId="2" borderId="1" xfId="0" applyFont="1" applyFill="1" applyBorder="1" applyAlignment="1">
      <alignment vertical="top" wrapText="1"/>
    </xf>
    <xf numFmtId="4" fontId="14" fillId="0" borderId="1" xfId="0" applyNumberFormat="1" applyFont="1" applyFill="1" applyBorder="1" applyAlignment="1">
      <alignment horizontal="right" vertical="top" wrapText="1"/>
    </xf>
    <xf numFmtId="4" fontId="14" fillId="0" borderId="1" xfId="0" applyNumberFormat="1" applyFont="1" applyBorder="1" applyAlignment="1">
      <alignment horizontal="right" vertical="top" wrapText="1"/>
    </xf>
    <xf numFmtId="0" fontId="9" fillId="0" borderId="1" xfId="0" applyFont="1" applyBorder="1" applyAlignment="1">
      <alignment vertical="top" wrapText="1"/>
    </xf>
    <xf numFmtId="164" fontId="14" fillId="0" borderId="1" xfId="0" applyNumberFormat="1" applyFont="1" applyFill="1" applyBorder="1" applyAlignment="1">
      <alignment horizontal="right" vertical="top" wrapText="1"/>
    </xf>
    <xf numFmtId="164" fontId="9" fillId="0" borderId="1" xfId="0" applyNumberFormat="1" applyFont="1" applyFill="1" applyBorder="1" applyAlignment="1">
      <alignment horizontal="right" vertical="top" wrapText="1"/>
    </xf>
    <xf numFmtId="164" fontId="14" fillId="0" borderId="1" xfId="0" applyNumberFormat="1" applyFont="1" applyBorder="1" applyAlignment="1">
      <alignment horizontal="center" vertical="top" wrapText="1"/>
    </xf>
    <xf numFmtId="4" fontId="14" fillId="2" borderId="1" xfId="0" applyNumberFormat="1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vertical="top" wrapText="1"/>
    </xf>
    <xf numFmtId="164" fontId="6" fillId="0" borderId="1" xfId="0" applyNumberFormat="1" applyFont="1" applyFill="1" applyBorder="1" applyAlignment="1">
      <alignment horizontal="right" vertical="top" wrapText="1"/>
    </xf>
    <xf numFmtId="4" fontId="14" fillId="0" borderId="1" xfId="0" applyNumberFormat="1" applyFont="1" applyBorder="1" applyAlignment="1">
      <alignment horizontal="center" vertical="top" wrapText="1"/>
    </xf>
    <xf numFmtId="0" fontId="15" fillId="0" borderId="1" xfId="0" applyFont="1" applyBorder="1" applyAlignment="1">
      <alignment vertical="top" wrapText="1"/>
    </xf>
    <xf numFmtId="164" fontId="9" fillId="0" borderId="1" xfId="0" applyNumberFormat="1" applyFont="1" applyBorder="1" applyAlignment="1">
      <alignment horizontal="right" vertical="top" wrapText="1"/>
    </xf>
    <xf numFmtId="0" fontId="9" fillId="0" borderId="1" xfId="0" applyFont="1" applyFill="1" applyBorder="1" applyAlignment="1">
      <alignment horizontal="left" vertical="top" wrapText="1"/>
    </xf>
    <xf numFmtId="165" fontId="9" fillId="0" borderId="0" xfId="0" applyNumberFormat="1" applyFont="1" applyFill="1" applyBorder="1" applyAlignment="1">
      <alignment vertical="top" wrapText="1"/>
    </xf>
    <xf numFmtId="164" fontId="8" fillId="0" borderId="0" xfId="0" applyNumberFormat="1" applyFont="1" applyFill="1" applyBorder="1" applyAlignment="1">
      <alignment horizontal="right" vertical="top" wrapText="1"/>
    </xf>
    <xf numFmtId="164" fontId="16" fillId="0" borderId="0" xfId="0" applyNumberFormat="1" applyFont="1" applyFill="1" applyBorder="1" applyAlignment="1">
      <alignment horizontal="right" vertical="top" wrapText="1"/>
    </xf>
    <xf numFmtId="0" fontId="13" fillId="0" borderId="0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164" fontId="9" fillId="2" borderId="1" xfId="0" applyNumberFormat="1" applyFont="1" applyFill="1" applyBorder="1" applyAlignment="1">
      <alignment vertical="top" wrapText="1"/>
    </xf>
    <xf numFmtId="164" fontId="14" fillId="2" borderId="1" xfId="0" applyNumberFormat="1" applyFont="1" applyFill="1" applyBorder="1" applyAlignment="1">
      <alignment vertical="top" wrapText="1"/>
    </xf>
    <xf numFmtId="0" fontId="14" fillId="2" borderId="1" xfId="0" applyFont="1" applyFill="1" applyBorder="1" applyAlignment="1">
      <alignment vertical="top" wrapText="1"/>
    </xf>
    <xf numFmtId="0" fontId="4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164" fontId="9" fillId="2" borderId="1" xfId="0" applyNumberFormat="1" applyFont="1" applyFill="1" applyBorder="1" applyAlignment="1">
      <alignment horizontal="left" vertical="top" wrapText="1"/>
    </xf>
    <xf numFmtId="164" fontId="9" fillId="0" borderId="1" xfId="0" applyNumberFormat="1" applyFont="1" applyFill="1" applyBorder="1" applyAlignment="1">
      <alignment horizontal="left" vertical="top" wrapText="1"/>
    </xf>
    <xf numFmtId="164" fontId="14" fillId="0" borderId="1" xfId="0" applyNumberFormat="1" applyFont="1" applyBorder="1" applyAlignment="1">
      <alignment vertical="top" wrapText="1"/>
    </xf>
    <xf numFmtId="164" fontId="9" fillId="0" borderId="1" xfId="0" applyNumberFormat="1" applyFont="1" applyBorder="1" applyAlignment="1">
      <alignment vertical="top" wrapText="1"/>
    </xf>
    <xf numFmtId="0" fontId="14" fillId="0" borderId="1" xfId="0" applyFont="1" applyBorder="1" applyAlignment="1">
      <alignment vertical="top" wrapText="1"/>
    </xf>
    <xf numFmtId="164" fontId="9" fillId="0" borderId="0" xfId="0" applyNumberFormat="1" applyFont="1" applyFill="1" applyBorder="1" applyAlignment="1">
      <alignment horizontal="left" vertical="top" wrapText="1"/>
    </xf>
    <xf numFmtId="4" fontId="16" fillId="0" borderId="0" xfId="0" applyNumberFormat="1" applyFont="1" applyFill="1" applyBorder="1" applyAlignment="1">
      <alignment horizontal="right" vertical="top" wrapText="1"/>
    </xf>
    <xf numFmtId="4" fontId="7" fillId="0" borderId="0" xfId="0" applyNumberFormat="1" applyFont="1" applyBorder="1" applyAlignment="1">
      <alignment horizontal="right" vertical="top" wrapText="1"/>
    </xf>
    <xf numFmtId="165" fontId="4" fillId="2" borderId="1" xfId="0" applyNumberFormat="1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right" vertical="top" wrapText="1"/>
    </xf>
    <xf numFmtId="164" fontId="7" fillId="2" borderId="1" xfId="0" applyNumberFormat="1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vertical="top" wrapText="1"/>
    </xf>
    <xf numFmtId="164" fontId="7" fillId="2" borderId="1" xfId="0" applyNumberFormat="1" applyFont="1" applyFill="1" applyBorder="1" applyAlignment="1">
      <alignment vertical="top" wrapText="1"/>
    </xf>
    <xf numFmtId="0" fontId="13" fillId="2" borderId="1" xfId="0" applyFont="1" applyFill="1" applyBorder="1" applyAlignment="1">
      <alignment vertical="top" wrapText="1"/>
    </xf>
    <xf numFmtId="4" fontId="2" fillId="2" borderId="0" xfId="0" applyNumberFormat="1" applyFont="1" applyFill="1" applyAlignment="1">
      <alignment vertical="top" wrapText="1"/>
    </xf>
    <xf numFmtId="0" fontId="17" fillId="0" borderId="0" xfId="0" applyFont="1" applyAlignment="1">
      <alignment vertical="top" wrapText="1"/>
    </xf>
    <xf numFmtId="0" fontId="18" fillId="0" borderId="9" xfId="0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19" fillId="2" borderId="1" xfId="0" applyFont="1" applyFill="1" applyBorder="1" applyAlignment="1">
      <alignment vertical="top" wrapText="1"/>
    </xf>
    <xf numFmtId="0" fontId="20" fillId="2" borderId="1" xfId="0" applyFont="1" applyFill="1" applyBorder="1" applyAlignment="1">
      <alignment horizontal="center" vertical="top" wrapText="1"/>
    </xf>
    <xf numFmtId="16" fontId="20" fillId="2" borderId="1" xfId="0" applyNumberFormat="1" applyFont="1" applyFill="1" applyBorder="1" applyAlignment="1">
      <alignment horizontal="center" vertical="top" wrapText="1"/>
    </xf>
    <xf numFmtId="0" fontId="20" fillId="2" borderId="1" xfId="0" applyFont="1" applyFill="1" applyBorder="1" applyAlignment="1">
      <alignment horizontal="center" vertical="top" wrapText="1"/>
    </xf>
    <xf numFmtId="0" fontId="20" fillId="2" borderId="1" xfId="0" applyFont="1" applyFill="1" applyBorder="1" applyAlignment="1">
      <alignment vertical="top" wrapText="1"/>
    </xf>
    <xf numFmtId="0" fontId="20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0" fontId="21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wrapText="1" shrinkToFit="1"/>
    </xf>
    <xf numFmtId="0" fontId="22" fillId="2" borderId="1" xfId="0" applyFont="1" applyFill="1" applyBorder="1" applyAlignment="1">
      <alignment vertical="top" wrapText="1"/>
    </xf>
    <xf numFmtId="0" fontId="23" fillId="2" borderId="0" xfId="0" applyFont="1" applyFill="1" applyAlignment="1">
      <alignment vertical="top" wrapText="1"/>
    </xf>
    <xf numFmtId="0" fontId="1" fillId="2" borderId="0" xfId="0" applyFont="1" applyFill="1" applyAlignment="1">
      <alignment vertical="top" wrapText="1"/>
    </xf>
    <xf numFmtId="0" fontId="24" fillId="0" borderId="1" xfId="0" applyFont="1" applyFill="1" applyBorder="1" applyAlignment="1">
      <alignment vertical="top" wrapText="1"/>
    </xf>
    <xf numFmtId="3" fontId="25" fillId="0" borderId="1" xfId="0" applyNumberFormat="1" applyFont="1" applyFill="1" applyBorder="1" applyAlignment="1">
      <alignment vertical="top" wrapText="1"/>
    </xf>
    <xf numFmtId="0" fontId="25" fillId="0" borderId="1" xfId="0" applyFont="1" applyFill="1" applyBorder="1" applyAlignment="1">
      <alignment vertical="top" wrapText="1"/>
    </xf>
    <xf numFmtId="0" fontId="25" fillId="2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vertical="top" wrapText="1"/>
    </xf>
    <xf numFmtId="0" fontId="26" fillId="0" borderId="0" xfId="0" applyFont="1" applyFill="1" applyAlignment="1">
      <alignment vertical="top" wrapText="1"/>
    </xf>
    <xf numFmtId="0" fontId="27" fillId="2" borderId="1" xfId="0" applyFont="1" applyFill="1" applyBorder="1" applyAlignment="1">
      <alignment vertical="top" wrapText="1"/>
    </xf>
    <xf numFmtId="0" fontId="26" fillId="2" borderId="0" xfId="0" applyFont="1" applyFill="1" applyAlignment="1">
      <alignment vertical="top" wrapText="1"/>
    </xf>
    <xf numFmtId="0" fontId="28" fillId="2" borderId="1" xfId="0" applyFont="1" applyFill="1" applyBorder="1" applyAlignment="1">
      <alignment vertical="top" wrapText="1"/>
    </xf>
    <xf numFmtId="0" fontId="29" fillId="0" borderId="1" xfId="0" applyFont="1" applyFill="1" applyBorder="1" applyAlignment="1">
      <alignment vertical="top" wrapText="1"/>
    </xf>
    <xf numFmtId="0" fontId="30" fillId="2" borderId="1" xfId="0" applyFont="1" applyFill="1" applyBorder="1" applyAlignment="1">
      <alignment vertical="top" wrapText="1"/>
    </xf>
    <xf numFmtId="0" fontId="30" fillId="2" borderId="1" xfId="0" applyFont="1" applyFill="1" applyBorder="1" applyAlignment="1">
      <alignment horizontal="justify" vertical="top" wrapText="1"/>
    </xf>
    <xf numFmtId="0" fontId="27" fillId="2" borderId="1" xfId="0" applyFont="1" applyFill="1" applyBorder="1" applyAlignment="1">
      <alignment horizontal="justify" vertical="top" wrapText="1"/>
    </xf>
    <xf numFmtId="0" fontId="31" fillId="0" borderId="1" xfId="0" applyFont="1" applyFill="1" applyBorder="1" applyAlignment="1">
      <alignment vertical="top" wrapText="1"/>
    </xf>
    <xf numFmtId="164" fontId="30" fillId="2" borderId="1" xfId="0" applyNumberFormat="1" applyFont="1" applyFill="1" applyBorder="1" applyAlignment="1">
      <alignment horizontal="justify" vertical="top" wrapText="1"/>
    </xf>
    <xf numFmtId="0" fontId="23" fillId="2" borderId="1" xfId="0" applyFont="1" applyFill="1" applyBorder="1" applyAlignment="1">
      <alignment vertical="top" wrapText="1"/>
    </xf>
    <xf numFmtId="164" fontId="30" fillId="2" borderId="1" xfId="0" applyNumberFormat="1" applyFont="1" applyFill="1" applyBorder="1" applyAlignment="1">
      <alignment vertical="top" wrapText="1"/>
    </xf>
    <xf numFmtId="165" fontId="30" fillId="2" borderId="1" xfId="0" applyNumberFormat="1" applyFont="1" applyFill="1" applyBorder="1" applyAlignment="1">
      <alignment vertical="top" wrapText="1"/>
    </xf>
    <xf numFmtId="3" fontId="25" fillId="2" borderId="1" xfId="0" applyNumberFormat="1" applyFont="1" applyFill="1" applyBorder="1" applyAlignment="1">
      <alignment vertical="top" wrapText="1"/>
    </xf>
    <xf numFmtId="164" fontId="30" fillId="2" borderId="1" xfId="0" applyNumberFormat="1" applyFont="1" applyFill="1" applyBorder="1" applyAlignment="1">
      <alignment horizontal="left" vertical="top" wrapText="1"/>
    </xf>
    <xf numFmtId="0" fontId="31" fillId="0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25" fillId="2" borderId="0" xfId="0" applyFont="1" applyFill="1" applyAlignment="1">
      <alignment vertical="top" wrapText="1"/>
    </xf>
    <xf numFmtId="0" fontId="26" fillId="0" borderId="0" xfId="0" applyFont="1" applyAlignment="1">
      <alignment vertical="top" wrapText="1"/>
    </xf>
    <xf numFmtId="0" fontId="30" fillId="0" borderId="0" xfId="0" applyFont="1" applyFill="1" applyAlignment="1">
      <alignment horizontal="center" vertical="top" wrapText="1"/>
    </xf>
    <xf numFmtId="0" fontId="30" fillId="0" borderId="0" xfId="0" applyFont="1" applyFill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28" fillId="2" borderId="0" xfId="0" applyFont="1" applyFill="1" applyAlignment="1">
      <alignment vertical="top" wrapText="1"/>
    </xf>
    <xf numFmtId="0" fontId="31" fillId="4" borderId="0" xfId="0" applyFont="1" applyFill="1" applyAlignment="1">
      <alignment horizontal="left" vertical="top" wrapText="1"/>
    </xf>
    <xf numFmtId="0" fontId="32" fillId="0" borderId="0" xfId="0" applyFont="1" applyFill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usya/Desktop/2017/&#1086;&#1094;&#1077;&#1085;&#1082;&#1072;%20&#1101;&#1092;&#1092;&#1077;&#1082;&#1090;&#1080;&#1074;&#1085;&#1086;&#1089;&#1090;&#1080;/2018/&#1054;&#1094;&#1077;&#1085;&#1082;&#1072;%20&#1101;&#1092;&#1092;&#1077;&#1082;&#1090;&#1080;&#1074;&#1085;&#1086;&#1089;&#1090;&#1080;%20&#1076;&#1077;&#1103;&#1090;&#1077;&#1083;&#1100;&#1085;&#1086;&#1089;&#1090;&#1080;%20&#1088;&#1091;&#1082;&#1086;&#1074;&#1086;&#1076;&#1080;&#1090;&#1077;&#1083;&#1077;&#1081;%20&#1079;&#1072;%202%20&#1082;&#1074;&#1072;&#1088;&#1090;&#1072;&#1083;%202018%20&#1075;&#1086;&#1076;&#1072;%20&#1087;&#1086;&#1089;&#1083;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ровень исп. ГЗ"/>
      <sheetName val="Уровень сред ЗП"/>
      <sheetName val="зп-культура"/>
      <sheetName val="Оценка эффективности рук."/>
    </sheetNames>
    <sheetDataSet>
      <sheetData sheetId="0">
        <row r="6">
          <cell r="U6">
            <v>85</v>
          </cell>
        </row>
        <row r="7">
          <cell r="U7">
            <v>85</v>
          </cell>
        </row>
        <row r="8">
          <cell r="U8">
            <v>85</v>
          </cell>
        </row>
        <row r="9">
          <cell r="U9">
            <v>85</v>
          </cell>
        </row>
        <row r="10">
          <cell r="U10">
            <v>100</v>
          </cell>
        </row>
        <row r="11">
          <cell r="U11">
            <v>100</v>
          </cell>
        </row>
        <row r="12">
          <cell r="U12">
            <v>85</v>
          </cell>
        </row>
        <row r="13">
          <cell r="U13">
            <v>100</v>
          </cell>
        </row>
        <row r="14">
          <cell r="U14">
            <v>85</v>
          </cell>
        </row>
        <row r="15">
          <cell r="U15">
            <v>85</v>
          </cell>
        </row>
        <row r="16">
          <cell r="U16">
            <v>85</v>
          </cell>
        </row>
        <row r="17">
          <cell r="U17">
            <v>85</v>
          </cell>
        </row>
        <row r="22">
          <cell r="U22">
            <v>85</v>
          </cell>
        </row>
        <row r="23">
          <cell r="U23">
            <v>85</v>
          </cell>
        </row>
        <row r="24">
          <cell r="U24">
            <v>85</v>
          </cell>
        </row>
        <row r="25">
          <cell r="U25">
            <v>100</v>
          </cell>
        </row>
        <row r="26">
          <cell r="U26">
            <v>85</v>
          </cell>
        </row>
        <row r="27">
          <cell r="U27">
            <v>100</v>
          </cell>
        </row>
        <row r="28">
          <cell r="U28">
            <v>100</v>
          </cell>
        </row>
        <row r="29">
          <cell r="U29">
            <v>0</v>
          </cell>
        </row>
        <row r="30">
          <cell r="U30">
            <v>85</v>
          </cell>
        </row>
        <row r="31">
          <cell r="U31">
            <v>0</v>
          </cell>
        </row>
        <row r="32">
          <cell r="U32">
            <v>85</v>
          </cell>
        </row>
        <row r="39">
          <cell r="T39">
            <v>100</v>
          </cell>
        </row>
        <row r="45">
          <cell r="M45">
            <v>100</v>
          </cell>
        </row>
        <row r="46">
          <cell r="M46">
            <v>100</v>
          </cell>
        </row>
        <row r="47">
          <cell r="M47">
            <v>85</v>
          </cell>
        </row>
        <row r="48">
          <cell r="M48">
            <v>0</v>
          </cell>
        </row>
        <row r="49">
          <cell r="M49">
            <v>85</v>
          </cell>
        </row>
        <row r="55">
          <cell r="Q55">
            <v>100</v>
          </cell>
        </row>
        <row r="56">
          <cell r="Q56">
            <v>100</v>
          </cell>
        </row>
        <row r="57">
          <cell r="Q57">
            <v>100</v>
          </cell>
        </row>
        <row r="63">
          <cell r="Q63">
            <v>85</v>
          </cell>
        </row>
        <row r="64">
          <cell r="Q64">
            <v>85</v>
          </cell>
        </row>
        <row r="65">
          <cell r="Q65">
            <v>85</v>
          </cell>
        </row>
        <row r="66">
          <cell r="Q66">
            <v>85</v>
          </cell>
        </row>
        <row r="72">
          <cell r="Q72">
            <v>85</v>
          </cell>
        </row>
        <row r="73">
          <cell r="Q73">
            <v>85</v>
          </cell>
        </row>
        <row r="74">
          <cell r="Q74">
            <v>85</v>
          </cell>
        </row>
        <row r="79">
          <cell r="Q79">
            <v>85</v>
          </cell>
        </row>
      </sheetData>
      <sheetData sheetId="1">
        <row r="6">
          <cell r="I6">
            <v>100</v>
          </cell>
        </row>
        <row r="7">
          <cell r="I7">
            <v>85</v>
          </cell>
        </row>
        <row r="8">
          <cell r="I8">
            <v>100</v>
          </cell>
        </row>
        <row r="9">
          <cell r="I9">
            <v>100</v>
          </cell>
        </row>
        <row r="10">
          <cell r="I10">
            <v>100</v>
          </cell>
        </row>
        <row r="11">
          <cell r="I11">
            <v>100</v>
          </cell>
        </row>
        <row r="13">
          <cell r="I13">
            <v>100</v>
          </cell>
        </row>
        <row r="14">
          <cell r="I14">
            <v>100</v>
          </cell>
        </row>
        <row r="15">
          <cell r="I15">
            <v>100</v>
          </cell>
        </row>
        <row r="16">
          <cell r="I16">
            <v>100</v>
          </cell>
        </row>
        <row r="17">
          <cell r="I17">
            <v>100</v>
          </cell>
        </row>
        <row r="18">
          <cell r="I18">
            <v>100</v>
          </cell>
        </row>
        <row r="19">
          <cell r="I19">
            <v>100</v>
          </cell>
        </row>
        <row r="20">
          <cell r="I20">
            <v>100</v>
          </cell>
        </row>
        <row r="21">
          <cell r="I21">
            <v>100</v>
          </cell>
        </row>
        <row r="22">
          <cell r="I22">
            <v>100</v>
          </cell>
        </row>
        <row r="23">
          <cell r="I23">
            <v>85</v>
          </cell>
        </row>
        <row r="24">
          <cell r="I24">
            <v>100</v>
          </cell>
        </row>
        <row r="25">
          <cell r="I25">
            <v>100</v>
          </cell>
        </row>
        <row r="26">
          <cell r="I26">
            <v>100</v>
          </cell>
        </row>
        <row r="27">
          <cell r="I27">
            <v>85</v>
          </cell>
        </row>
        <row r="28">
          <cell r="I28">
            <v>100</v>
          </cell>
        </row>
        <row r="29">
          <cell r="I29">
            <v>100</v>
          </cell>
        </row>
        <row r="30">
          <cell r="I30">
            <v>100</v>
          </cell>
        </row>
        <row r="31">
          <cell r="I31">
            <v>85</v>
          </cell>
        </row>
        <row r="32">
          <cell r="I32">
            <v>100</v>
          </cell>
        </row>
        <row r="33">
          <cell r="I33">
            <v>100</v>
          </cell>
        </row>
        <row r="34">
          <cell r="I34">
            <v>85</v>
          </cell>
        </row>
        <row r="35">
          <cell r="I35">
            <v>100</v>
          </cell>
        </row>
        <row r="36">
          <cell r="I36">
            <v>85</v>
          </cell>
        </row>
        <row r="37">
          <cell r="I37">
            <v>100</v>
          </cell>
        </row>
        <row r="46">
          <cell r="I46">
            <v>100</v>
          </cell>
        </row>
        <row r="47">
          <cell r="I47">
            <v>100</v>
          </cell>
        </row>
        <row r="48">
          <cell r="I48">
            <v>100</v>
          </cell>
        </row>
        <row r="49">
          <cell r="I49">
            <v>100</v>
          </cell>
        </row>
        <row r="50">
          <cell r="I50">
            <v>100</v>
          </cell>
        </row>
        <row r="52">
          <cell r="I52">
            <v>-50</v>
          </cell>
        </row>
        <row r="53">
          <cell r="I53">
            <v>100</v>
          </cell>
        </row>
        <row r="54">
          <cell r="I54">
            <v>100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view="pageBreakPreview" topLeftCell="A67" zoomScaleNormal="100" zoomScaleSheetLayoutView="100" workbookViewId="0">
      <selection activeCell="Q73" sqref="Q73"/>
    </sheetView>
  </sheetViews>
  <sheetFormatPr defaultRowHeight="15" x14ac:dyDescent="0.25"/>
  <cols>
    <col min="1" max="1" width="3.85546875" style="1" customWidth="1"/>
    <col min="2" max="2" width="27" style="1" customWidth="1"/>
    <col min="3" max="3" width="8.85546875" style="1" customWidth="1"/>
    <col min="4" max="4" width="8.28515625" style="1" customWidth="1"/>
    <col min="5" max="5" width="8.85546875" style="1" customWidth="1"/>
    <col min="6" max="6" width="9.42578125" style="1" customWidth="1"/>
    <col min="7" max="7" width="8.7109375" style="1" customWidth="1"/>
    <col min="8" max="8" width="9.42578125" style="1" customWidth="1"/>
    <col min="9" max="9" width="10" style="3" customWidth="1"/>
    <col min="10" max="10" width="10.140625" style="1" customWidth="1"/>
    <col min="11" max="11" width="10.42578125" style="1" customWidth="1"/>
    <col min="12" max="12" width="9.140625" style="1"/>
    <col min="13" max="13" width="8.5703125" style="1" customWidth="1"/>
    <col min="14" max="14" width="10" style="1" customWidth="1"/>
    <col min="15" max="15" width="8.7109375" style="1" customWidth="1"/>
    <col min="16" max="17" width="9.42578125" style="1" customWidth="1"/>
    <col min="18" max="18" width="10.140625" style="1" customWidth="1"/>
    <col min="19" max="19" width="9.140625" style="3" customWidth="1"/>
    <col min="20" max="20" width="8.7109375" style="1" customWidth="1"/>
    <col min="21" max="21" width="8.140625" style="1" customWidth="1"/>
    <col min="22" max="22" width="8.5703125" style="3" customWidth="1"/>
    <col min="23" max="23" width="11.42578125" style="1" customWidth="1"/>
    <col min="24" max="24" width="9.140625" style="4"/>
    <col min="25" max="16384" width="9.140625" style="1"/>
  </cols>
  <sheetData>
    <row r="1" spans="1:24" ht="18.75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1"/>
      <c r="X1" s="1"/>
    </row>
    <row r="2" spans="1:24" x14ac:dyDescent="0.25">
      <c r="P2" s="3"/>
      <c r="U2" s="4"/>
      <c r="V2" s="1"/>
      <c r="X2" s="1"/>
    </row>
    <row r="3" spans="1:24" s="10" customFormat="1" ht="30.75" customHeight="1" x14ac:dyDescent="0.25">
      <c r="A3" s="5" t="s">
        <v>1</v>
      </c>
      <c r="B3" s="5" t="s">
        <v>2</v>
      </c>
      <c r="C3" s="5" t="s">
        <v>3</v>
      </c>
      <c r="D3" s="5"/>
      <c r="E3" s="5"/>
      <c r="F3" s="5"/>
      <c r="G3" s="5"/>
      <c r="H3" s="5"/>
      <c r="I3" s="6" t="s">
        <v>4</v>
      </c>
      <c r="J3" s="5" t="s">
        <v>5</v>
      </c>
      <c r="K3" s="5"/>
      <c r="L3" s="5"/>
      <c r="M3" s="5" t="s">
        <v>6</v>
      </c>
      <c r="N3" s="5"/>
      <c r="O3" s="5"/>
      <c r="P3" s="7" t="s">
        <v>7</v>
      </c>
      <c r="Q3" s="5" t="s">
        <v>8</v>
      </c>
      <c r="R3" s="5"/>
      <c r="S3" s="7" t="s">
        <v>9</v>
      </c>
      <c r="T3" s="8" t="s">
        <v>10</v>
      </c>
      <c r="U3" s="9" t="s">
        <v>11</v>
      </c>
    </row>
    <row r="4" spans="1:24" s="15" customFormat="1" ht="73.5" customHeight="1" x14ac:dyDescent="0.25">
      <c r="A4" s="5"/>
      <c r="B4" s="5"/>
      <c r="C4" s="11" t="s">
        <v>12</v>
      </c>
      <c r="D4" s="11"/>
      <c r="E4" s="5" t="s">
        <v>4</v>
      </c>
      <c r="F4" s="11" t="s">
        <v>13</v>
      </c>
      <c r="G4" s="11"/>
      <c r="H4" s="5" t="s">
        <v>4</v>
      </c>
      <c r="I4" s="6"/>
      <c r="J4" s="11" t="s">
        <v>14</v>
      </c>
      <c r="K4" s="11"/>
      <c r="L4" s="5" t="s">
        <v>7</v>
      </c>
      <c r="M4" s="11" t="s">
        <v>15</v>
      </c>
      <c r="N4" s="11"/>
      <c r="O4" s="5" t="s">
        <v>7</v>
      </c>
      <c r="P4" s="12"/>
      <c r="Q4" s="11" t="s">
        <v>16</v>
      </c>
      <c r="R4" s="11" t="s">
        <v>17</v>
      </c>
      <c r="S4" s="12"/>
      <c r="T4" s="13"/>
      <c r="U4" s="14"/>
    </row>
    <row r="5" spans="1:24" ht="24.75" customHeight="1" x14ac:dyDescent="0.25">
      <c r="A5" s="5"/>
      <c r="B5" s="5"/>
      <c r="C5" s="16" t="s">
        <v>16</v>
      </c>
      <c r="D5" s="16" t="s">
        <v>17</v>
      </c>
      <c r="E5" s="5"/>
      <c r="F5" s="16" t="s">
        <v>16</v>
      </c>
      <c r="G5" s="16" t="s">
        <v>17</v>
      </c>
      <c r="H5" s="5"/>
      <c r="I5" s="6"/>
      <c r="J5" s="16" t="s">
        <v>16</v>
      </c>
      <c r="K5" s="16" t="s">
        <v>17</v>
      </c>
      <c r="L5" s="5"/>
      <c r="M5" s="16" t="s">
        <v>16</v>
      </c>
      <c r="N5" s="16" t="s">
        <v>17</v>
      </c>
      <c r="O5" s="5"/>
      <c r="P5" s="17"/>
      <c r="Q5" s="11"/>
      <c r="R5" s="11"/>
      <c r="S5" s="17"/>
      <c r="T5" s="18"/>
      <c r="U5" s="19"/>
      <c r="V5" s="1"/>
      <c r="X5" s="1"/>
    </row>
    <row r="6" spans="1:24" s="32" customFormat="1" ht="16.5" customHeight="1" x14ac:dyDescent="0.25">
      <c r="A6" s="20">
        <v>1</v>
      </c>
      <c r="B6" s="21" t="s">
        <v>18</v>
      </c>
      <c r="C6" s="22">
        <v>130</v>
      </c>
      <c r="D6" s="23">
        <v>160</v>
      </c>
      <c r="E6" s="24">
        <v>1</v>
      </c>
      <c r="F6" s="25"/>
      <c r="G6" s="26"/>
      <c r="H6" s="24">
        <v>1</v>
      </c>
      <c r="I6" s="27">
        <f>1/2*(E6+H6)</f>
        <v>1</v>
      </c>
      <c r="J6" s="25">
        <v>25000</v>
      </c>
      <c r="K6" s="28">
        <v>23132</v>
      </c>
      <c r="L6" s="24">
        <f>K6/J6</f>
        <v>0.92527999999999999</v>
      </c>
      <c r="M6" s="26">
        <v>3</v>
      </c>
      <c r="N6" s="29">
        <v>2</v>
      </c>
      <c r="O6" s="24">
        <f>N6/M6</f>
        <v>0.66666666666666663</v>
      </c>
      <c r="P6" s="27">
        <f>1/2*(+L6+O6)</f>
        <v>0.79597333333333331</v>
      </c>
      <c r="Q6" s="28">
        <v>3470</v>
      </c>
      <c r="R6" s="30">
        <v>4129</v>
      </c>
      <c r="S6" s="27">
        <v>1</v>
      </c>
      <c r="T6" s="24">
        <f>100*(0.35*I6+0.35*P6+0.3*S6)</f>
        <v>92.859066666666649</v>
      </c>
      <c r="U6" s="31">
        <v>85</v>
      </c>
    </row>
    <row r="7" spans="1:24" s="32" customFormat="1" ht="16.5" customHeight="1" x14ac:dyDescent="0.25">
      <c r="A7" s="20">
        <v>2</v>
      </c>
      <c r="B7" s="21" t="s">
        <v>19</v>
      </c>
      <c r="C7" s="26">
        <v>148</v>
      </c>
      <c r="D7" s="23">
        <v>126</v>
      </c>
      <c r="E7" s="24">
        <f>D7/C7</f>
        <v>0.85135135135135132</v>
      </c>
      <c r="F7" s="29"/>
      <c r="G7" s="26"/>
      <c r="H7" s="24">
        <v>1</v>
      </c>
      <c r="I7" s="27">
        <f t="shared" ref="I7:I17" si="0">1/2*(E7+H7)</f>
        <v>0.92567567567567566</v>
      </c>
      <c r="J7" s="29">
        <v>33367</v>
      </c>
      <c r="K7" s="28">
        <v>31012</v>
      </c>
      <c r="L7" s="24">
        <f>K7/J7</f>
        <v>0.92942128450265227</v>
      </c>
      <c r="M7" s="33">
        <v>4</v>
      </c>
      <c r="N7" s="34">
        <v>3.5</v>
      </c>
      <c r="O7" s="24">
        <v>1</v>
      </c>
      <c r="P7" s="27">
        <f t="shared" ref="P7:P17" si="1">1/2*(+L7+O7)</f>
        <v>0.96471064225132608</v>
      </c>
      <c r="Q7" s="28">
        <v>1803.47</v>
      </c>
      <c r="R7" s="30">
        <v>1564.8</v>
      </c>
      <c r="S7" s="27">
        <f>R7/Q7</f>
        <v>0.86766067636278943</v>
      </c>
      <c r="T7" s="24">
        <f t="shared" ref="T7:T17" si="2">100*(0.35*I7+0.35*P7+0.3*S7)</f>
        <v>92.193341418328728</v>
      </c>
      <c r="U7" s="31">
        <v>85</v>
      </c>
    </row>
    <row r="8" spans="1:24" s="32" customFormat="1" ht="16.5" customHeight="1" x14ac:dyDescent="0.25">
      <c r="A8" s="20">
        <v>3</v>
      </c>
      <c r="B8" s="21" t="s">
        <v>20</v>
      </c>
      <c r="C8" s="26">
        <v>102</v>
      </c>
      <c r="D8" s="23">
        <v>106</v>
      </c>
      <c r="E8" s="24">
        <v>1</v>
      </c>
      <c r="F8" s="29"/>
      <c r="G8" s="26"/>
      <c r="H8" s="24">
        <v>1</v>
      </c>
      <c r="I8" s="27">
        <f t="shared" si="0"/>
        <v>1</v>
      </c>
      <c r="J8" s="29">
        <v>26000</v>
      </c>
      <c r="K8" s="28">
        <v>26000</v>
      </c>
      <c r="L8" s="24">
        <v>1</v>
      </c>
      <c r="M8" s="33">
        <v>2</v>
      </c>
      <c r="N8" s="34">
        <v>1</v>
      </c>
      <c r="O8" s="24">
        <v>0.5</v>
      </c>
      <c r="P8" s="27">
        <f t="shared" si="1"/>
        <v>0.75</v>
      </c>
      <c r="Q8" s="28">
        <v>1600</v>
      </c>
      <c r="R8" s="30">
        <v>2302.3999999999996</v>
      </c>
      <c r="S8" s="27">
        <v>1</v>
      </c>
      <c r="T8" s="24">
        <f t="shared" si="2"/>
        <v>91.249999999999986</v>
      </c>
      <c r="U8" s="31">
        <v>85</v>
      </c>
    </row>
    <row r="9" spans="1:24" s="32" customFormat="1" ht="16.5" customHeight="1" x14ac:dyDescent="0.25">
      <c r="A9" s="20">
        <v>4</v>
      </c>
      <c r="B9" s="21" t="s">
        <v>21</v>
      </c>
      <c r="C9" s="26">
        <v>90</v>
      </c>
      <c r="D9" s="23">
        <v>90</v>
      </c>
      <c r="E9" s="24">
        <v>1</v>
      </c>
      <c r="F9" s="29"/>
      <c r="G9" s="26"/>
      <c r="H9" s="24">
        <v>1</v>
      </c>
      <c r="I9" s="27">
        <f t="shared" si="0"/>
        <v>1</v>
      </c>
      <c r="J9" s="29">
        <v>18700</v>
      </c>
      <c r="K9" s="28">
        <v>23294</v>
      </c>
      <c r="L9" s="24">
        <v>1</v>
      </c>
      <c r="M9" s="33">
        <v>3</v>
      </c>
      <c r="N9" s="34">
        <v>2</v>
      </c>
      <c r="O9" s="24">
        <f>N9/M9</f>
        <v>0.66666666666666663</v>
      </c>
      <c r="P9" s="27">
        <f t="shared" si="1"/>
        <v>0.83333333333333326</v>
      </c>
      <c r="Q9" s="28">
        <v>615</v>
      </c>
      <c r="R9" s="30">
        <v>815.3</v>
      </c>
      <c r="S9" s="27">
        <v>1</v>
      </c>
      <c r="T9" s="24">
        <f>100*(0.35*I9+0.35*P9+0.3*S9)</f>
        <v>94.166666666666671</v>
      </c>
      <c r="U9" s="31">
        <v>85</v>
      </c>
    </row>
    <row r="10" spans="1:24" s="32" customFormat="1" ht="16.5" customHeight="1" x14ac:dyDescent="0.25">
      <c r="A10" s="20">
        <v>5</v>
      </c>
      <c r="B10" s="21" t="s">
        <v>22</v>
      </c>
      <c r="C10" s="26">
        <v>77</v>
      </c>
      <c r="D10" s="23">
        <v>83</v>
      </c>
      <c r="E10" s="24">
        <v>1</v>
      </c>
      <c r="F10" s="29"/>
      <c r="G10" s="26"/>
      <c r="H10" s="24">
        <v>1</v>
      </c>
      <c r="I10" s="27">
        <f t="shared" si="0"/>
        <v>1</v>
      </c>
      <c r="J10" s="29">
        <v>14100</v>
      </c>
      <c r="K10" s="28">
        <v>15700</v>
      </c>
      <c r="L10" s="24">
        <v>1</v>
      </c>
      <c r="M10" s="33">
        <v>1</v>
      </c>
      <c r="N10" s="34">
        <v>4</v>
      </c>
      <c r="O10" s="24">
        <v>1</v>
      </c>
      <c r="P10" s="27">
        <f t="shared" si="1"/>
        <v>1</v>
      </c>
      <c r="Q10" s="28">
        <v>549.70000000000005</v>
      </c>
      <c r="R10" s="30">
        <v>662.6</v>
      </c>
      <c r="S10" s="27">
        <v>1</v>
      </c>
      <c r="T10" s="24">
        <f>100*(0.35*I10+0.35*P10+0.3*S10)</f>
        <v>100</v>
      </c>
      <c r="U10" s="31">
        <v>100</v>
      </c>
    </row>
    <row r="11" spans="1:24" s="32" customFormat="1" ht="15.75" customHeight="1" x14ac:dyDescent="0.25">
      <c r="A11" s="20">
        <v>6</v>
      </c>
      <c r="B11" s="21" t="s">
        <v>23</v>
      </c>
      <c r="C11" s="26">
        <v>60</v>
      </c>
      <c r="D11" s="23">
        <v>64</v>
      </c>
      <c r="E11" s="24">
        <v>1</v>
      </c>
      <c r="F11" s="29"/>
      <c r="G11" s="26"/>
      <c r="H11" s="24">
        <v>1</v>
      </c>
      <c r="I11" s="27">
        <f t="shared" si="0"/>
        <v>1</v>
      </c>
      <c r="J11" s="29">
        <v>12800</v>
      </c>
      <c r="K11" s="28">
        <v>12800</v>
      </c>
      <c r="L11" s="24">
        <v>1</v>
      </c>
      <c r="M11" s="33">
        <v>2</v>
      </c>
      <c r="N11" s="34">
        <v>6</v>
      </c>
      <c r="O11" s="24">
        <v>1</v>
      </c>
      <c r="P11" s="27">
        <f t="shared" si="1"/>
        <v>1</v>
      </c>
      <c r="Q11" s="28">
        <v>1058</v>
      </c>
      <c r="R11" s="30">
        <v>4032.6</v>
      </c>
      <c r="S11" s="27">
        <v>1</v>
      </c>
      <c r="T11" s="24">
        <f>100*(0.35*I11+0.35*P11+0.3*S11)</f>
        <v>100</v>
      </c>
      <c r="U11" s="31">
        <v>100</v>
      </c>
    </row>
    <row r="12" spans="1:24" s="32" customFormat="1" ht="16.5" customHeight="1" x14ac:dyDescent="0.25">
      <c r="A12" s="20">
        <v>7</v>
      </c>
      <c r="B12" s="21" t="s">
        <v>24</v>
      </c>
      <c r="C12" s="26">
        <v>130</v>
      </c>
      <c r="D12" s="23">
        <v>246</v>
      </c>
      <c r="E12" s="24">
        <v>1</v>
      </c>
      <c r="F12" s="29"/>
      <c r="G12" s="26"/>
      <c r="H12" s="24">
        <v>1</v>
      </c>
      <c r="I12" s="27">
        <f t="shared" si="0"/>
        <v>1</v>
      </c>
      <c r="J12" s="29">
        <v>17600</v>
      </c>
      <c r="K12" s="28">
        <v>18600</v>
      </c>
      <c r="L12" s="24">
        <v>1</v>
      </c>
      <c r="M12" s="33">
        <v>4</v>
      </c>
      <c r="N12" s="34">
        <v>3</v>
      </c>
      <c r="O12" s="24">
        <f>N12/M12</f>
        <v>0.75</v>
      </c>
      <c r="P12" s="27">
        <f t="shared" si="1"/>
        <v>0.875</v>
      </c>
      <c r="Q12" s="28">
        <v>2700</v>
      </c>
      <c r="R12" s="30">
        <v>2999.5</v>
      </c>
      <c r="S12" s="27">
        <v>1</v>
      </c>
      <c r="T12" s="24">
        <f>100*(0.35*I12+0.35*P12+0.3*S12)</f>
        <v>95.625</v>
      </c>
      <c r="U12" s="31">
        <v>85</v>
      </c>
    </row>
    <row r="13" spans="1:24" s="32" customFormat="1" ht="16.5" customHeight="1" x14ac:dyDescent="0.25">
      <c r="A13" s="20">
        <v>8</v>
      </c>
      <c r="B13" s="21" t="s">
        <v>25</v>
      </c>
      <c r="C13" s="26">
        <v>38</v>
      </c>
      <c r="D13" s="23">
        <v>48</v>
      </c>
      <c r="E13" s="24">
        <v>1</v>
      </c>
      <c r="F13" s="29"/>
      <c r="G13" s="26"/>
      <c r="H13" s="24">
        <v>1</v>
      </c>
      <c r="I13" s="27">
        <f t="shared" si="0"/>
        <v>1</v>
      </c>
      <c r="J13" s="29">
        <v>13500</v>
      </c>
      <c r="K13" s="28">
        <v>13500</v>
      </c>
      <c r="L13" s="24">
        <v>1</v>
      </c>
      <c r="M13" s="33">
        <v>6</v>
      </c>
      <c r="N13" s="34">
        <v>6</v>
      </c>
      <c r="O13" s="24">
        <v>1</v>
      </c>
      <c r="P13" s="27">
        <f>1/2*(+L13+O13)</f>
        <v>1</v>
      </c>
      <c r="Q13" s="28">
        <v>890</v>
      </c>
      <c r="R13" s="30">
        <v>1291.3</v>
      </c>
      <c r="S13" s="27">
        <v>1</v>
      </c>
      <c r="T13" s="24">
        <f>100*(0.35*I13+0.35*P13+0.3*S13)</f>
        <v>100</v>
      </c>
      <c r="U13" s="31">
        <v>100</v>
      </c>
    </row>
    <row r="14" spans="1:24" s="32" customFormat="1" ht="16.5" customHeight="1" x14ac:dyDescent="0.25">
      <c r="A14" s="20">
        <v>9</v>
      </c>
      <c r="B14" s="21" t="s">
        <v>26</v>
      </c>
      <c r="C14" s="26">
        <v>40</v>
      </c>
      <c r="D14" s="23">
        <v>38</v>
      </c>
      <c r="E14" s="24">
        <f>D14/C14</f>
        <v>0.95</v>
      </c>
      <c r="F14" s="29"/>
      <c r="G14" s="26"/>
      <c r="H14" s="24">
        <v>1</v>
      </c>
      <c r="I14" s="27">
        <f t="shared" si="0"/>
        <v>0.97499999999999998</v>
      </c>
      <c r="J14" s="29">
        <v>4400</v>
      </c>
      <c r="K14" s="28">
        <v>3771</v>
      </c>
      <c r="L14" s="24">
        <v>0.76</v>
      </c>
      <c r="M14" s="33">
        <v>2</v>
      </c>
      <c r="N14" s="34">
        <v>2</v>
      </c>
      <c r="O14" s="24">
        <f>N14/M14</f>
        <v>1</v>
      </c>
      <c r="P14" s="27">
        <v>0.78</v>
      </c>
      <c r="Q14" s="28">
        <v>215</v>
      </c>
      <c r="R14" s="30">
        <v>208.1</v>
      </c>
      <c r="S14" s="27">
        <v>0.87</v>
      </c>
      <c r="T14" s="24">
        <f t="shared" si="2"/>
        <v>87.524999999999991</v>
      </c>
      <c r="U14" s="31">
        <v>85</v>
      </c>
    </row>
    <row r="15" spans="1:24" s="32" customFormat="1" ht="16.5" customHeight="1" x14ac:dyDescent="0.25">
      <c r="A15" s="20">
        <v>10</v>
      </c>
      <c r="B15" s="21" t="s">
        <v>27</v>
      </c>
      <c r="C15" s="26">
        <v>50</v>
      </c>
      <c r="D15" s="23">
        <v>56</v>
      </c>
      <c r="E15" s="24">
        <v>1</v>
      </c>
      <c r="F15" s="29"/>
      <c r="G15" s="26"/>
      <c r="H15" s="24">
        <v>1</v>
      </c>
      <c r="I15" s="27">
        <f t="shared" si="0"/>
        <v>1</v>
      </c>
      <c r="J15" s="29">
        <v>7700</v>
      </c>
      <c r="K15" s="28">
        <v>7900</v>
      </c>
      <c r="L15" s="24">
        <f>(K15/J15)</f>
        <v>1.025974025974026</v>
      </c>
      <c r="M15" s="33">
        <v>2</v>
      </c>
      <c r="N15" s="34">
        <v>2</v>
      </c>
      <c r="O15" s="24">
        <v>1</v>
      </c>
      <c r="P15" s="27">
        <f t="shared" si="1"/>
        <v>1.0129870129870131</v>
      </c>
      <c r="Q15" s="28">
        <v>543.79999999999995</v>
      </c>
      <c r="R15" s="30">
        <v>527</v>
      </c>
      <c r="S15" s="27">
        <f>R15/Q15</f>
        <v>0.96910628907686658</v>
      </c>
      <c r="T15" s="24">
        <f t="shared" si="2"/>
        <v>99.527734126851456</v>
      </c>
      <c r="U15" s="31">
        <v>85</v>
      </c>
    </row>
    <row r="16" spans="1:24" s="32" customFormat="1" ht="16.5" customHeight="1" x14ac:dyDescent="0.25">
      <c r="A16" s="20">
        <v>11</v>
      </c>
      <c r="B16" s="21" t="s">
        <v>28</v>
      </c>
      <c r="C16" s="26">
        <v>53</v>
      </c>
      <c r="D16" s="23">
        <v>49</v>
      </c>
      <c r="E16" s="24">
        <f>D16/C16</f>
        <v>0.92452830188679247</v>
      </c>
      <c r="F16" s="29"/>
      <c r="G16" s="26"/>
      <c r="H16" s="24">
        <v>1</v>
      </c>
      <c r="I16" s="27">
        <f t="shared" si="0"/>
        <v>0.96226415094339623</v>
      </c>
      <c r="J16" s="29">
        <v>5650</v>
      </c>
      <c r="K16" s="28">
        <v>4420</v>
      </c>
      <c r="L16" s="24">
        <f>(K16/J16)</f>
        <v>0.78230088495575223</v>
      </c>
      <c r="M16" s="33">
        <v>2</v>
      </c>
      <c r="N16" s="34">
        <v>1</v>
      </c>
      <c r="O16" s="24">
        <v>1</v>
      </c>
      <c r="P16" s="27">
        <f t="shared" si="1"/>
        <v>0.89115044247787611</v>
      </c>
      <c r="Q16" s="28">
        <v>390</v>
      </c>
      <c r="R16" s="30">
        <v>335.3</v>
      </c>
      <c r="S16" s="27">
        <f>R16/Q16</f>
        <v>0.85974358974358978</v>
      </c>
      <c r="T16" s="24">
        <f t="shared" si="2"/>
        <v>90.66181846205221</v>
      </c>
      <c r="U16" s="31">
        <v>85</v>
      </c>
    </row>
    <row r="17" spans="1:24" s="32" customFormat="1" ht="16.5" customHeight="1" x14ac:dyDescent="0.25">
      <c r="A17" s="20">
        <v>12</v>
      </c>
      <c r="B17" s="21" t="s">
        <v>29</v>
      </c>
      <c r="C17" s="26">
        <v>40</v>
      </c>
      <c r="D17" s="23">
        <v>54</v>
      </c>
      <c r="E17" s="24">
        <v>1</v>
      </c>
      <c r="F17" s="29"/>
      <c r="G17" s="26"/>
      <c r="H17" s="24">
        <v>1</v>
      </c>
      <c r="I17" s="27">
        <f t="shared" si="0"/>
        <v>1</v>
      </c>
      <c r="J17" s="29">
        <v>5000</v>
      </c>
      <c r="K17" s="28">
        <v>6228</v>
      </c>
      <c r="L17" s="24">
        <v>1</v>
      </c>
      <c r="M17" s="35">
        <v>0</v>
      </c>
      <c r="N17" s="36">
        <v>0</v>
      </c>
      <c r="O17" s="24">
        <v>0.5</v>
      </c>
      <c r="P17" s="27">
        <f t="shared" si="1"/>
        <v>0.75</v>
      </c>
      <c r="Q17" s="28">
        <v>99</v>
      </c>
      <c r="R17" s="30">
        <v>149.5</v>
      </c>
      <c r="S17" s="27">
        <v>1</v>
      </c>
      <c r="T17" s="24">
        <f t="shared" si="2"/>
        <v>91.249999999999986</v>
      </c>
      <c r="U17" s="31">
        <v>85</v>
      </c>
      <c r="V17" s="37"/>
    </row>
    <row r="18" spans="1:24" ht="16.5" customHeight="1" x14ac:dyDescent="0.25">
      <c r="A18" s="38"/>
      <c r="B18" s="39"/>
      <c r="C18" s="40">
        <f>SUM(C6:C17)</f>
        <v>958</v>
      </c>
      <c r="D18" s="40">
        <f>SUM(D6:D17)</f>
        <v>1120</v>
      </c>
      <c r="E18" s="41"/>
      <c r="F18" s="42"/>
      <c r="G18" s="42"/>
      <c r="H18" s="43"/>
      <c r="I18" s="44"/>
      <c r="J18" s="45">
        <f>SUM(J6:J17)</f>
        <v>183817</v>
      </c>
      <c r="K18" s="45">
        <f>SUM(K6:K17)</f>
        <v>186357</v>
      </c>
      <c r="L18" s="41"/>
      <c r="M18" s="46"/>
      <c r="N18" s="46"/>
      <c r="O18" s="43"/>
      <c r="P18" s="47"/>
      <c r="Q18" s="48">
        <f>SUM(Q6:Q17)</f>
        <v>13933.97</v>
      </c>
      <c r="R18" s="48">
        <f>SUM(R6:R17)</f>
        <v>19017.399999999998</v>
      </c>
      <c r="S18" s="49"/>
      <c r="T18" s="50"/>
      <c r="U18" s="50"/>
      <c r="V18" s="49"/>
      <c r="W18" s="51"/>
      <c r="X18" s="52"/>
    </row>
    <row r="19" spans="1:24" ht="32.25" customHeight="1" x14ac:dyDescent="0.25">
      <c r="A19" s="53"/>
      <c r="B19" s="54" t="s">
        <v>2</v>
      </c>
      <c r="C19" s="5" t="s">
        <v>3</v>
      </c>
      <c r="D19" s="5"/>
      <c r="E19" s="5"/>
      <c r="F19" s="5"/>
      <c r="G19" s="5"/>
      <c r="H19" s="5"/>
      <c r="I19" s="6" t="s">
        <v>4</v>
      </c>
      <c r="J19" s="5" t="s">
        <v>5</v>
      </c>
      <c r="K19" s="5"/>
      <c r="L19" s="5"/>
      <c r="M19" s="5" t="s">
        <v>6</v>
      </c>
      <c r="N19" s="5"/>
      <c r="O19" s="5"/>
      <c r="P19" s="7" t="s">
        <v>7</v>
      </c>
      <c r="Q19" s="5" t="s">
        <v>8</v>
      </c>
      <c r="R19" s="5"/>
      <c r="S19" s="6" t="s">
        <v>9</v>
      </c>
      <c r="T19" s="55" t="s">
        <v>10</v>
      </c>
      <c r="U19" s="56" t="s">
        <v>11</v>
      </c>
      <c r="V19" s="49"/>
      <c r="W19" s="51"/>
      <c r="X19" s="57"/>
    </row>
    <row r="20" spans="1:24" ht="74.25" customHeight="1" x14ac:dyDescent="0.25">
      <c r="A20" s="58"/>
      <c r="B20" s="54"/>
      <c r="C20" s="11" t="s">
        <v>12</v>
      </c>
      <c r="D20" s="11"/>
      <c r="E20" s="5" t="s">
        <v>4</v>
      </c>
      <c r="F20" s="11" t="s">
        <v>13</v>
      </c>
      <c r="G20" s="11"/>
      <c r="H20" s="5" t="s">
        <v>4</v>
      </c>
      <c r="I20" s="6"/>
      <c r="J20" s="59" t="s">
        <v>14</v>
      </c>
      <c r="K20" s="60"/>
      <c r="L20" s="5" t="s">
        <v>7</v>
      </c>
      <c r="M20" s="11" t="s">
        <v>30</v>
      </c>
      <c r="N20" s="11"/>
      <c r="O20" s="5" t="s">
        <v>7</v>
      </c>
      <c r="P20" s="12"/>
      <c r="Q20" s="11" t="s">
        <v>16</v>
      </c>
      <c r="R20" s="11" t="s">
        <v>17</v>
      </c>
      <c r="S20" s="6"/>
      <c r="T20" s="55"/>
      <c r="U20" s="56"/>
      <c r="V20" s="1"/>
      <c r="X20" s="1"/>
    </row>
    <row r="21" spans="1:24" ht="32.25" customHeight="1" x14ac:dyDescent="0.25">
      <c r="A21" s="61"/>
      <c r="B21" s="54"/>
      <c r="C21" s="16" t="s">
        <v>16</v>
      </c>
      <c r="D21" s="16" t="s">
        <v>17</v>
      </c>
      <c r="E21" s="5"/>
      <c r="F21" s="16" t="s">
        <v>16</v>
      </c>
      <c r="G21" s="16" t="s">
        <v>17</v>
      </c>
      <c r="H21" s="5"/>
      <c r="I21" s="6"/>
      <c r="J21" s="16" t="s">
        <v>16</v>
      </c>
      <c r="K21" s="16" t="s">
        <v>17</v>
      </c>
      <c r="L21" s="5"/>
      <c r="M21" s="16" t="s">
        <v>16</v>
      </c>
      <c r="N21" s="16" t="s">
        <v>17</v>
      </c>
      <c r="O21" s="5"/>
      <c r="P21" s="17"/>
      <c r="Q21" s="11"/>
      <c r="R21" s="11"/>
      <c r="S21" s="6"/>
      <c r="T21" s="55"/>
      <c r="U21" s="56"/>
      <c r="V21" s="1"/>
      <c r="X21" s="1"/>
    </row>
    <row r="22" spans="1:24" s="32" customFormat="1" ht="16.5" customHeight="1" x14ac:dyDescent="0.25">
      <c r="A22" s="20">
        <v>13</v>
      </c>
      <c r="B22" s="62" t="s">
        <v>31</v>
      </c>
      <c r="C22" s="63">
        <v>105</v>
      </c>
      <c r="D22" s="26">
        <v>101</v>
      </c>
      <c r="E22" s="64">
        <f>D22/C22</f>
        <v>0.96190476190476193</v>
      </c>
      <c r="F22" s="65"/>
      <c r="G22" s="65"/>
      <c r="H22" s="64">
        <v>1</v>
      </c>
      <c r="I22" s="66">
        <f>1/2*(E22+H22)</f>
        <v>0.98095238095238102</v>
      </c>
      <c r="J22" s="29">
        <v>24000</v>
      </c>
      <c r="K22" s="29">
        <v>26364</v>
      </c>
      <c r="L22" s="64">
        <v>1</v>
      </c>
      <c r="M22" s="20">
        <v>18</v>
      </c>
      <c r="N22" s="20">
        <v>18</v>
      </c>
      <c r="O22" s="64">
        <v>1</v>
      </c>
      <c r="P22" s="66">
        <f>1/2*(+L22+O22)</f>
        <v>1</v>
      </c>
      <c r="Q22" s="67">
        <v>1500</v>
      </c>
      <c r="R22" s="68">
        <v>1109.2</v>
      </c>
      <c r="S22" s="66">
        <f>R22/Q22</f>
        <v>0.73946666666666672</v>
      </c>
      <c r="T22" s="64">
        <f>100*(0.35*I22+0.35*P22+0.3*S22)</f>
        <v>91.51733333333334</v>
      </c>
      <c r="U22" s="69">
        <v>85</v>
      </c>
    </row>
    <row r="23" spans="1:24" s="32" customFormat="1" ht="16.5" customHeight="1" x14ac:dyDescent="0.25">
      <c r="A23" s="20">
        <v>15</v>
      </c>
      <c r="B23" s="62" t="s">
        <v>32</v>
      </c>
      <c r="C23" s="63">
        <v>34</v>
      </c>
      <c r="D23" s="26">
        <v>35</v>
      </c>
      <c r="E23" s="64">
        <v>1</v>
      </c>
      <c r="F23" s="65"/>
      <c r="G23" s="65"/>
      <c r="H23" s="64">
        <v>1</v>
      </c>
      <c r="I23" s="66">
        <f t="shared" ref="I23:I32" si="3">1/2*(E23+H23)</f>
        <v>1</v>
      </c>
      <c r="J23" s="70">
        <v>13450</v>
      </c>
      <c r="K23" s="29">
        <v>13450</v>
      </c>
      <c r="L23" s="64">
        <v>1</v>
      </c>
      <c r="M23" s="20">
        <v>2</v>
      </c>
      <c r="N23" s="20">
        <v>1</v>
      </c>
      <c r="O23" s="64">
        <f>N23/M23</f>
        <v>0.5</v>
      </c>
      <c r="P23" s="66">
        <f t="shared" ref="P23:P32" si="4">1/2*(+L23+O23)</f>
        <v>0.75</v>
      </c>
      <c r="Q23" s="67">
        <v>950</v>
      </c>
      <c r="R23" s="68">
        <v>950</v>
      </c>
      <c r="S23" s="66">
        <v>1</v>
      </c>
      <c r="T23" s="64">
        <f t="shared" ref="T23:T32" si="5">100*(0.35*I23+0.35*P23+0.3*S23)</f>
        <v>91.249999999999986</v>
      </c>
      <c r="U23" s="69">
        <v>85</v>
      </c>
    </row>
    <row r="24" spans="1:24" s="32" customFormat="1" ht="16.5" customHeight="1" x14ac:dyDescent="0.25">
      <c r="A24" s="20">
        <v>16</v>
      </c>
      <c r="B24" s="62" t="s">
        <v>33</v>
      </c>
      <c r="C24" s="63">
        <v>31</v>
      </c>
      <c r="D24" s="26">
        <v>27</v>
      </c>
      <c r="E24" s="64">
        <f>D24/C24</f>
        <v>0.87096774193548387</v>
      </c>
      <c r="F24" s="65"/>
      <c r="G24" s="65"/>
      <c r="H24" s="64">
        <v>1</v>
      </c>
      <c r="I24" s="66">
        <f t="shared" si="3"/>
        <v>0.93548387096774199</v>
      </c>
      <c r="J24" s="70">
        <v>13500</v>
      </c>
      <c r="K24" s="29">
        <v>13600</v>
      </c>
      <c r="L24" s="64">
        <v>1</v>
      </c>
      <c r="M24" s="20">
        <v>0</v>
      </c>
      <c r="N24" s="20">
        <v>0</v>
      </c>
      <c r="O24" s="64">
        <v>0.5</v>
      </c>
      <c r="P24" s="66">
        <f t="shared" si="4"/>
        <v>0.75</v>
      </c>
      <c r="Q24" s="67">
        <v>460</v>
      </c>
      <c r="R24" s="68">
        <v>630</v>
      </c>
      <c r="S24" s="66">
        <v>1</v>
      </c>
      <c r="T24" s="64">
        <f t="shared" si="5"/>
        <v>88.991935483870961</v>
      </c>
      <c r="U24" s="69">
        <v>85</v>
      </c>
    </row>
    <row r="25" spans="1:24" s="32" customFormat="1" ht="16.5" customHeight="1" x14ac:dyDescent="0.25">
      <c r="A25" s="20">
        <v>17</v>
      </c>
      <c r="B25" s="62" t="s">
        <v>34</v>
      </c>
      <c r="C25" s="63">
        <v>30</v>
      </c>
      <c r="D25" s="26">
        <v>30</v>
      </c>
      <c r="E25" s="64">
        <v>1</v>
      </c>
      <c r="F25" s="65"/>
      <c r="G25" s="65"/>
      <c r="H25" s="64">
        <v>1</v>
      </c>
      <c r="I25" s="66">
        <f t="shared" si="3"/>
        <v>1</v>
      </c>
      <c r="J25" s="70">
        <v>4600</v>
      </c>
      <c r="K25" s="29">
        <v>4850</v>
      </c>
      <c r="L25" s="64">
        <v>1</v>
      </c>
      <c r="M25" s="20">
        <v>1</v>
      </c>
      <c r="N25" s="20">
        <v>1</v>
      </c>
      <c r="O25" s="64">
        <v>1</v>
      </c>
      <c r="P25" s="66">
        <f t="shared" si="4"/>
        <v>1</v>
      </c>
      <c r="Q25" s="67">
        <v>190</v>
      </c>
      <c r="R25" s="68">
        <v>190</v>
      </c>
      <c r="S25" s="66">
        <v>1</v>
      </c>
      <c r="T25" s="64">
        <f t="shared" si="5"/>
        <v>100</v>
      </c>
      <c r="U25" s="69">
        <v>100</v>
      </c>
    </row>
    <row r="26" spans="1:24" s="32" customFormat="1" ht="16.5" customHeight="1" x14ac:dyDescent="0.25">
      <c r="A26" s="20">
        <v>18</v>
      </c>
      <c r="B26" s="62" t="s">
        <v>35</v>
      </c>
      <c r="C26" s="63">
        <v>41</v>
      </c>
      <c r="D26" s="26">
        <v>49</v>
      </c>
      <c r="E26" s="64">
        <v>1</v>
      </c>
      <c r="F26" s="65"/>
      <c r="G26" s="65"/>
      <c r="H26" s="64">
        <v>1</v>
      </c>
      <c r="I26" s="66">
        <f t="shared" si="3"/>
        <v>1</v>
      </c>
      <c r="J26" s="70">
        <v>5750</v>
      </c>
      <c r="K26" s="29">
        <v>5560</v>
      </c>
      <c r="L26" s="64">
        <f>K26/J26</f>
        <v>0.96695652173913038</v>
      </c>
      <c r="M26" s="20">
        <v>15</v>
      </c>
      <c r="N26" s="20">
        <v>15</v>
      </c>
      <c r="O26" s="64">
        <f>N26/M26</f>
        <v>1</v>
      </c>
      <c r="P26" s="66">
        <f t="shared" si="4"/>
        <v>0.98347826086956514</v>
      </c>
      <c r="Q26" s="67">
        <v>260</v>
      </c>
      <c r="R26" s="68">
        <v>261</v>
      </c>
      <c r="S26" s="66">
        <v>1</v>
      </c>
      <c r="T26" s="64">
        <f t="shared" si="5"/>
        <v>99.421739130434773</v>
      </c>
      <c r="U26" s="69">
        <v>85</v>
      </c>
    </row>
    <row r="27" spans="1:24" s="32" customFormat="1" ht="16.5" customHeight="1" x14ac:dyDescent="0.25">
      <c r="A27" s="20">
        <v>19</v>
      </c>
      <c r="B27" s="62" t="s">
        <v>36</v>
      </c>
      <c r="C27" s="63">
        <v>10</v>
      </c>
      <c r="D27" s="26">
        <v>16</v>
      </c>
      <c r="E27" s="64">
        <v>1</v>
      </c>
      <c r="F27" s="65"/>
      <c r="G27" s="65"/>
      <c r="H27" s="64">
        <v>1</v>
      </c>
      <c r="I27" s="66">
        <f t="shared" si="3"/>
        <v>1</v>
      </c>
      <c r="J27" s="70">
        <v>3200</v>
      </c>
      <c r="K27" s="29">
        <v>3730</v>
      </c>
      <c r="L27" s="64">
        <v>1</v>
      </c>
      <c r="M27" s="20">
        <v>0</v>
      </c>
      <c r="N27" s="20">
        <v>2</v>
      </c>
      <c r="O27" s="64">
        <v>1</v>
      </c>
      <c r="P27" s="66">
        <f t="shared" si="4"/>
        <v>1</v>
      </c>
      <c r="Q27" s="67">
        <v>100</v>
      </c>
      <c r="R27" s="68">
        <v>100</v>
      </c>
      <c r="S27" s="66">
        <f>R27/Q27</f>
        <v>1</v>
      </c>
      <c r="T27" s="64">
        <f t="shared" si="5"/>
        <v>100</v>
      </c>
      <c r="U27" s="69">
        <v>100</v>
      </c>
    </row>
    <row r="28" spans="1:24" s="32" customFormat="1" ht="16.5" customHeight="1" x14ac:dyDescent="0.25">
      <c r="A28" s="20">
        <v>22</v>
      </c>
      <c r="B28" s="71" t="s">
        <v>37</v>
      </c>
      <c r="C28" s="63">
        <v>25</v>
      </c>
      <c r="D28" s="26">
        <v>30</v>
      </c>
      <c r="E28" s="64">
        <v>1</v>
      </c>
      <c r="F28" s="65"/>
      <c r="G28" s="65"/>
      <c r="H28" s="64">
        <v>1</v>
      </c>
      <c r="I28" s="66">
        <f t="shared" si="3"/>
        <v>1</v>
      </c>
      <c r="J28" s="70">
        <v>5700</v>
      </c>
      <c r="K28" s="29">
        <v>6700</v>
      </c>
      <c r="L28" s="64">
        <v>1</v>
      </c>
      <c r="M28" s="20">
        <v>10</v>
      </c>
      <c r="N28" s="20">
        <v>10</v>
      </c>
      <c r="O28" s="64">
        <v>1</v>
      </c>
      <c r="P28" s="66">
        <f t="shared" si="4"/>
        <v>1</v>
      </c>
      <c r="Q28" s="67">
        <v>190</v>
      </c>
      <c r="R28" s="68">
        <v>193</v>
      </c>
      <c r="S28" s="66">
        <v>1</v>
      </c>
      <c r="T28" s="64">
        <f t="shared" si="5"/>
        <v>100</v>
      </c>
      <c r="U28" s="69">
        <v>100</v>
      </c>
    </row>
    <row r="29" spans="1:24" s="32" customFormat="1" ht="16.5" customHeight="1" x14ac:dyDescent="0.25">
      <c r="A29" s="20">
        <v>23</v>
      </c>
      <c r="B29" s="71" t="s">
        <v>38</v>
      </c>
      <c r="C29" s="63">
        <v>22</v>
      </c>
      <c r="D29" s="26">
        <v>12</v>
      </c>
      <c r="E29" s="64">
        <f>D29/C29</f>
        <v>0.54545454545454541</v>
      </c>
      <c r="F29" s="65"/>
      <c r="G29" s="65"/>
      <c r="H29" s="64">
        <v>1</v>
      </c>
      <c r="I29" s="66">
        <f t="shared" si="3"/>
        <v>0.77272727272727271</v>
      </c>
      <c r="J29" s="70">
        <v>5600</v>
      </c>
      <c r="K29" s="29">
        <v>9400</v>
      </c>
      <c r="L29" s="64">
        <v>1</v>
      </c>
      <c r="M29" s="20">
        <v>4</v>
      </c>
      <c r="N29" s="20">
        <v>7</v>
      </c>
      <c r="O29" s="64">
        <v>1</v>
      </c>
      <c r="P29" s="66">
        <f t="shared" si="4"/>
        <v>1</v>
      </c>
      <c r="Q29" s="67">
        <v>200</v>
      </c>
      <c r="R29" s="68">
        <v>0</v>
      </c>
      <c r="S29" s="66">
        <v>0</v>
      </c>
      <c r="T29" s="64">
        <f t="shared" si="5"/>
        <v>62.04545454545454</v>
      </c>
      <c r="U29" s="69">
        <v>0</v>
      </c>
    </row>
    <row r="30" spans="1:24" s="32" customFormat="1" ht="16.5" customHeight="1" x14ac:dyDescent="0.25">
      <c r="A30" s="20">
        <v>24</v>
      </c>
      <c r="B30" s="71" t="s">
        <v>39</v>
      </c>
      <c r="C30" s="63">
        <v>35</v>
      </c>
      <c r="D30" s="26">
        <f>23+12</f>
        <v>35</v>
      </c>
      <c r="E30" s="64">
        <f>D30/C30</f>
        <v>1</v>
      </c>
      <c r="F30" s="65"/>
      <c r="G30" s="65"/>
      <c r="H30" s="64">
        <v>1</v>
      </c>
      <c r="I30" s="66">
        <f t="shared" si="3"/>
        <v>1</v>
      </c>
      <c r="J30" s="70">
        <v>18000</v>
      </c>
      <c r="K30" s="29">
        <f>3900+10630</f>
        <v>14530</v>
      </c>
      <c r="L30" s="64">
        <f>K30/J30</f>
        <v>0.80722222222222217</v>
      </c>
      <c r="M30" s="20">
        <v>1</v>
      </c>
      <c r="N30" s="20">
        <v>1</v>
      </c>
      <c r="O30" s="64">
        <v>1</v>
      </c>
      <c r="P30" s="66">
        <f t="shared" si="4"/>
        <v>0.90361111111111114</v>
      </c>
      <c r="Q30" s="67">
        <v>4000</v>
      </c>
      <c r="R30" s="68">
        <v>2496</v>
      </c>
      <c r="S30" s="66">
        <f>R30/Q30</f>
        <v>0.624</v>
      </c>
      <c r="T30" s="64">
        <f t="shared" si="5"/>
        <v>85.346388888888896</v>
      </c>
      <c r="U30" s="69">
        <v>85</v>
      </c>
    </row>
    <row r="31" spans="1:24" s="32" customFormat="1" ht="16.5" customHeight="1" x14ac:dyDescent="0.25">
      <c r="A31" s="20">
        <v>25</v>
      </c>
      <c r="B31" s="71" t="s">
        <v>40</v>
      </c>
      <c r="C31" s="63">
        <v>34</v>
      </c>
      <c r="D31" s="26">
        <v>36</v>
      </c>
      <c r="E31" s="64">
        <v>1</v>
      </c>
      <c r="F31" s="65"/>
      <c r="G31" s="65"/>
      <c r="H31" s="64">
        <v>1</v>
      </c>
      <c r="I31" s="66">
        <f t="shared" si="3"/>
        <v>1</v>
      </c>
      <c r="J31" s="70">
        <v>5100</v>
      </c>
      <c r="K31" s="29">
        <v>7580</v>
      </c>
      <c r="L31" s="64">
        <v>1</v>
      </c>
      <c r="M31" s="20">
        <v>0</v>
      </c>
      <c r="N31" s="20">
        <v>0</v>
      </c>
      <c r="O31" s="64">
        <v>0.5</v>
      </c>
      <c r="P31" s="66">
        <f t="shared" si="4"/>
        <v>0.75</v>
      </c>
      <c r="Q31" s="67">
        <v>212.44</v>
      </c>
      <c r="R31" s="68">
        <v>70</v>
      </c>
      <c r="S31" s="66">
        <f>R31/Q31</f>
        <v>0.32950480135567689</v>
      </c>
      <c r="T31" s="64">
        <f t="shared" si="5"/>
        <v>71.135144040670298</v>
      </c>
      <c r="U31" s="69">
        <v>0</v>
      </c>
    </row>
    <row r="32" spans="1:24" s="32" customFormat="1" ht="16.5" customHeight="1" x14ac:dyDescent="0.25">
      <c r="A32" s="20">
        <v>26</v>
      </c>
      <c r="B32" s="71" t="s">
        <v>41</v>
      </c>
      <c r="C32" s="63">
        <v>24</v>
      </c>
      <c r="D32" s="26">
        <v>30</v>
      </c>
      <c r="E32" s="64">
        <v>1</v>
      </c>
      <c r="F32" s="65"/>
      <c r="G32" s="65"/>
      <c r="H32" s="64">
        <v>1</v>
      </c>
      <c r="I32" s="66">
        <f t="shared" si="3"/>
        <v>1</v>
      </c>
      <c r="J32" s="70">
        <v>2700</v>
      </c>
      <c r="K32" s="29">
        <v>2690</v>
      </c>
      <c r="L32" s="64">
        <f>K32/J32</f>
        <v>0.99629629629629635</v>
      </c>
      <c r="M32" s="20">
        <v>5</v>
      </c>
      <c r="N32" s="20">
        <v>5</v>
      </c>
      <c r="O32" s="64">
        <v>1</v>
      </c>
      <c r="P32" s="66">
        <f t="shared" si="4"/>
        <v>0.99814814814814823</v>
      </c>
      <c r="Q32" s="67">
        <v>105</v>
      </c>
      <c r="R32" s="68">
        <v>98</v>
      </c>
      <c r="S32" s="66">
        <f>R32/Q32</f>
        <v>0.93333333333333335</v>
      </c>
      <c r="T32" s="64">
        <f t="shared" si="5"/>
        <v>97.935185185185176</v>
      </c>
      <c r="U32" s="69">
        <v>85</v>
      </c>
    </row>
    <row r="33" spans="1:24" x14ac:dyDescent="0.25">
      <c r="C33" s="1">
        <f>SUM(C22:C32)</f>
        <v>391</v>
      </c>
      <c r="D33" s="1">
        <f>SUM(D22:D32)</f>
        <v>401</v>
      </c>
      <c r="J33" s="72">
        <f>SUM(J22:J32)</f>
        <v>101600</v>
      </c>
      <c r="K33" s="72">
        <f>SUM(K22:K32)</f>
        <v>108454</v>
      </c>
      <c r="Q33" s="73">
        <f>SUM(Q22:Q32)</f>
        <v>8167.44</v>
      </c>
      <c r="R33" s="73">
        <f>SUM(R22:R32)</f>
        <v>6097.2</v>
      </c>
      <c r="W33" s="74"/>
    </row>
    <row r="35" spans="1:24" s="76" customFormat="1" x14ac:dyDescent="0.25">
      <c r="A35" s="15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75"/>
    </row>
    <row r="36" spans="1:24" s="76" customFormat="1" ht="15" customHeight="1" x14ac:dyDescent="0.25">
      <c r="A36" s="5" t="s">
        <v>1</v>
      </c>
      <c r="B36" s="77" t="s">
        <v>2</v>
      </c>
      <c r="C36" s="77" t="s">
        <v>6</v>
      </c>
      <c r="D36" s="77"/>
      <c r="E36" s="77"/>
      <c r="F36" s="77"/>
      <c r="G36" s="77"/>
      <c r="H36" s="77"/>
      <c r="I36" s="78" t="s">
        <v>5</v>
      </c>
      <c r="J36" s="79"/>
      <c r="K36" s="79"/>
      <c r="L36" s="79"/>
      <c r="M36" s="79"/>
      <c r="N36" s="80"/>
      <c r="O36" s="81"/>
      <c r="P36" s="77" t="s">
        <v>8</v>
      </c>
      <c r="Q36" s="77"/>
      <c r="R36" s="77"/>
      <c r="S36" s="77" t="s">
        <v>42</v>
      </c>
      <c r="T36" s="82" t="s">
        <v>11</v>
      </c>
      <c r="U36" s="32"/>
      <c r="V36" s="1"/>
      <c r="W36" s="1"/>
      <c r="X36" s="75"/>
    </row>
    <row r="37" spans="1:24" s="76" customFormat="1" ht="117" customHeight="1" x14ac:dyDescent="0.25">
      <c r="A37" s="5"/>
      <c r="B37" s="77"/>
      <c r="C37" s="83" t="s">
        <v>43</v>
      </c>
      <c r="D37" s="84"/>
      <c r="E37" s="77" t="s">
        <v>4</v>
      </c>
      <c r="F37" s="83" t="s">
        <v>44</v>
      </c>
      <c r="G37" s="84"/>
      <c r="H37" s="77" t="s">
        <v>4</v>
      </c>
      <c r="I37" s="83" t="s">
        <v>45</v>
      </c>
      <c r="J37" s="84"/>
      <c r="K37" s="77" t="s">
        <v>4</v>
      </c>
      <c r="L37" s="83" t="s">
        <v>46</v>
      </c>
      <c r="M37" s="84"/>
      <c r="N37" s="85" t="s">
        <v>4</v>
      </c>
      <c r="O37" s="85" t="s">
        <v>4</v>
      </c>
      <c r="P37" s="77" t="s">
        <v>16</v>
      </c>
      <c r="Q37" s="77" t="s">
        <v>17</v>
      </c>
      <c r="R37" s="77" t="s">
        <v>9</v>
      </c>
      <c r="S37" s="77"/>
      <c r="T37" s="86"/>
      <c r="U37" s="32"/>
      <c r="V37" s="1"/>
      <c r="W37" s="1"/>
      <c r="X37" s="75"/>
    </row>
    <row r="38" spans="1:24" s="76" customFormat="1" x14ac:dyDescent="0.25">
      <c r="A38" s="5"/>
      <c r="B38" s="77"/>
      <c r="C38" s="87" t="s">
        <v>16</v>
      </c>
      <c r="D38" s="87" t="s">
        <v>17</v>
      </c>
      <c r="E38" s="77"/>
      <c r="F38" s="87" t="s">
        <v>16</v>
      </c>
      <c r="G38" s="87" t="s">
        <v>17</v>
      </c>
      <c r="H38" s="77"/>
      <c r="I38" s="87" t="s">
        <v>16</v>
      </c>
      <c r="J38" s="87" t="s">
        <v>17</v>
      </c>
      <c r="K38" s="77"/>
      <c r="L38" s="87" t="s">
        <v>16</v>
      </c>
      <c r="M38" s="87" t="s">
        <v>17</v>
      </c>
      <c r="N38" s="88"/>
      <c r="O38" s="88"/>
      <c r="P38" s="77"/>
      <c r="Q38" s="77"/>
      <c r="R38" s="77"/>
      <c r="S38" s="77"/>
      <c r="T38" s="89"/>
      <c r="U38" s="32"/>
      <c r="V38" s="1"/>
      <c r="W38" s="1"/>
      <c r="X38" s="75"/>
    </row>
    <row r="39" spans="1:24" s="95" customFormat="1" ht="30.75" customHeight="1" x14ac:dyDescent="0.25">
      <c r="A39" s="20">
        <v>1</v>
      </c>
      <c r="B39" s="65" t="s">
        <v>47</v>
      </c>
      <c r="C39" s="65">
        <v>5</v>
      </c>
      <c r="D39" s="65">
        <v>6</v>
      </c>
      <c r="E39" s="90">
        <v>1</v>
      </c>
      <c r="F39" s="65">
        <v>2</v>
      </c>
      <c r="G39" s="65">
        <v>4</v>
      </c>
      <c r="H39" s="90">
        <v>1</v>
      </c>
      <c r="I39" s="65">
        <v>7638</v>
      </c>
      <c r="J39" s="65">
        <v>7638</v>
      </c>
      <c r="K39" s="90">
        <f>1/1*(J39/I39)</f>
        <v>1</v>
      </c>
      <c r="L39" s="65">
        <v>52</v>
      </c>
      <c r="M39" s="65">
        <v>57</v>
      </c>
      <c r="N39" s="90">
        <v>1</v>
      </c>
      <c r="O39" s="91">
        <f>(N39+K39+H39+E39)/4</f>
        <v>1</v>
      </c>
      <c r="P39" s="65">
        <v>500</v>
      </c>
      <c r="Q39" s="65">
        <v>500</v>
      </c>
      <c r="R39" s="92">
        <f>1/1*(Q39/P39)</f>
        <v>1</v>
      </c>
      <c r="S39" s="93">
        <f>100*O39</f>
        <v>100</v>
      </c>
      <c r="T39" s="69">
        <v>100</v>
      </c>
      <c r="U39" s="32"/>
      <c r="V39" s="32"/>
      <c r="W39" s="32"/>
      <c r="X39" s="94"/>
    </row>
    <row r="40" spans="1:24" s="76" customFormat="1" x14ac:dyDescent="0.25">
      <c r="A40" s="15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75"/>
    </row>
    <row r="41" spans="1:24" s="76" customFormat="1" x14ac:dyDescent="0.25">
      <c r="A41" s="15"/>
      <c r="B41" s="1" t="s">
        <v>48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75"/>
    </row>
    <row r="42" spans="1:24" s="76" customFormat="1" x14ac:dyDescent="0.25">
      <c r="A42" s="5" t="s">
        <v>1</v>
      </c>
      <c r="B42" s="5" t="s">
        <v>2</v>
      </c>
      <c r="C42" s="5" t="s">
        <v>5</v>
      </c>
      <c r="D42" s="5"/>
      <c r="E42" s="5"/>
      <c r="F42" s="5" t="s">
        <v>3</v>
      </c>
      <c r="G42" s="5"/>
      <c r="H42" s="5"/>
      <c r="I42" s="5" t="s">
        <v>8</v>
      </c>
      <c r="J42" s="5"/>
      <c r="K42" s="5"/>
      <c r="L42" s="5" t="s">
        <v>42</v>
      </c>
      <c r="M42" s="9" t="s">
        <v>11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75"/>
    </row>
    <row r="43" spans="1:24" s="76" customFormat="1" ht="72.75" customHeight="1" x14ac:dyDescent="0.25">
      <c r="A43" s="5"/>
      <c r="B43" s="5"/>
      <c r="C43" s="5" t="s">
        <v>49</v>
      </c>
      <c r="D43" s="5"/>
      <c r="E43" s="5" t="s">
        <v>4</v>
      </c>
      <c r="F43" s="5" t="s">
        <v>50</v>
      </c>
      <c r="G43" s="5"/>
      <c r="H43" s="5" t="s">
        <v>7</v>
      </c>
      <c r="I43" s="5" t="s">
        <v>16</v>
      </c>
      <c r="J43" s="5" t="s">
        <v>17</v>
      </c>
      <c r="K43" s="5" t="s">
        <v>9</v>
      </c>
      <c r="L43" s="5"/>
      <c r="M43" s="14"/>
      <c r="N43" s="1"/>
      <c r="O43" s="1"/>
      <c r="P43" s="1"/>
      <c r="Q43" s="1"/>
      <c r="R43" s="1"/>
      <c r="S43" s="1"/>
      <c r="T43" s="1"/>
      <c r="U43" s="1"/>
      <c r="V43" s="1"/>
      <c r="W43" s="1"/>
      <c r="X43" s="75"/>
    </row>
    <row r="44" spans="1:24" s="76" customFormat="1" x14ac:dyDescent="0.25">
      <c r="A44" s="5"/>
      <c r="B44" s="5"/>
      <c r="C44" s="96" t="s">
        <v>16</v>
      </c>
      <c r="D44" s="96" t="s">
        <v>17</v>
      </c>
      <c r="E44" s="5"/>
      <c r="F44" s="96" t="s">
        <v>16</v>
      </c>
      <c r="G44" s="96" t="s">
        <v>17</v>
      </c>
      <c r="H44" s="5"/>
      <c r="I44" s="5"/>
      <c r="J44" s="5"/>
      <c r="K44" s="5"/>
      <c r="L44" s="5"/>
      <c r="M44" s="19"/>
      <c r="N44" s="1"/>
      <c r="O44" s="1"/>
      <c r="P44" s="1"/>
      <c r="Q44" s="1"/>
      <c r="R44" s="1"/>
      <c r="S44" s="1"/>
      <c r="T44" s="1"/>
      <c r="U44" s="1"/>
      <c r="V44" s="1"/>
      <c r="W44" s="1"/>
      <c r="X44" s="75"/>
    </row>
    <row r="45" spans="1:24" s="76" customFormat="1" ht="33.75" customHeight="1" x14ac:dyDescent="0.25">
      <c r="A45" s="16">
        <v>1</v>
      </c>
      <c r="B45" s="97" t="s">
        <v>51</v>
      </c>
      <c r="C45" s="98">
        <v>110</v>
      </c>
      <c r="D45" s="98">
        <f>125+38</f>
        <v>163</v>
      </c>
      <c r="E45" s="99">
        <v>1</v>
      </c>
      <c r="F45" s="70">
        <v>154200</v>
      </c>
      <c r="G45" s="100">
        <f>92700+49500+25900</f>
        <v>168100</v>
      </c>
      <c r="H45" s="99">
        <v>1</v>
      </c>
      <c r="I45" s="101">
        <v>249</v>
      </c>
      <c r="J45" s="29">
        <v>688.52</v>
      </c>
      <c r="K45" s="102">
        <v>1</v>
      </c>
      <c r="L45" s="102">
        <f>100*(0.35*E45+0.35*H45+0.3*K45)</f>
        <v>100</v>
      </c>
      <c r="M45" s="103">
        <v>100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75"/>
    </row>
    <row r="46" spans="1:24" s="95" customFormat="1" ht="60" x14ac:dyDescent="0.25">
      <c r="A46" s="20">
        <v>2</v>
      </c>
      <c r="B46" s="104" t="s">
        <v>52</v>
      </c>
      <c r="C46" s="65">
        <v>16</v>
      </c>
      <c r="D46" s="65">
        <f>7+9</f>
        <v>16</v>
      </c>
      <c r="E46" s="90">
        <v>1</v>
      </c>
      <c r="F46" s="70">
        <v>42000</v>
      </c>
      <c r="G46" s="70">
        <f>6151+16604+23866</f>
        <v>46621</v>
      </c>
      <c r="H46" s="90">
        <v>1</v>
      </c>
      <c r="I46" s="29">
        <v>202</v>
      </c>
      <c r="J46" s="29">
        <v>513.87900000000002</v>
      </c>
      <c r="K46" s="90">
        <v>1</v>
      </c>
      <c r="L46" s="64">
        <f>100*(0.35*E46+0.35*H46+0.3*K46)</f>
        <v>100</v>
      </c>
      <c r="M46" s="69">
        <v>100</v>
      </c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94"/>
    </row>
    <row r="47" spans="1:24" s="95" customFormat="1" ht="75" x14ac:dyDescent="0.25">
      <c r="A47" s="20">
        <v>3</v>
      </c>
      <c r="B47" s="104" t="s">
        <v>53</v>
      </c>
      <c r="C47" s="65">
        <v>12</v>
      </c>
      <c r="D47" s="65">
        <f>8+4</f>
        <v>12</v>
      </c>
      <c r="E47" s="90">
        <v>1</v>
      </c>
      <c r="F47" s="70">
        <v>49000</v>
      </c>
      <c r="G47" s="70">
        <f>46457+3000</f>
        <v>49457</v>
      </c>
      <c r="H47" s="90">
        <v>1</v>
      </c>
      <c r="I47" s="29">
        <v>910</v>
      </c>
      <c r="J47" s="29">
        <v>461.5</v>
      </c>
      <c r="K47" s="90">
        <f>1/1*(J47/I47)</f>
        <v>0.50714285714285712</v>
      </c>
      <c r="L47" s="64">
        <f>100*(0.35*E47+0.35*H47+0.3*K47)</f>
        <v>85.214285714285708</v>
      </c>
      <c r="M47" s="69">
        <v>85</v>
      </c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94"/>
    </row>
    <row r="48" spans="1:24" s="76" customFormat="1" ht="45.75" customHeight="1" x14ac:dyDescent="0.25">
      <c r="A48" s="16">
        <v>4</v>
      </c>
      <c r="B48" s="97" t="s">
        <v>54</v>
      </c>
      <c r="C48" s="65">
        <v>10</v>
      </c>
      <c r="D48" s="65">
        <f>8+5</f>
        <v>13</v>
      </c>
      <c r="E48" s="90">
        <v>1</v>
      </c>
      <c r="F48" s="70">
        <v>9685</v>
      </c>
      <c r="G48" s="70">
        <f>1467+5120+1503</f>
        <v>8090</v>
      </c>
      <c r="H48" s="99">
        <f>G48/F48</f>
        <v>0.83531233866804333</v>
      </c>
      <c r="I48" s="101">
        <v>37</v>
      </c>
      <c r="J48" s="29">
        <v>17.5</v>
      </c>
      <c r="K48" s="99">
        <f>J48/I48</f>
        <v>0.47297297297297297</v>
      </c>
      <c r="L48" s="64">
        <f>100*(0.35*E48+0.35*H48+0.3*K48)</f>
        <v>78.425121042570694</v>
      </c>
      <c r="M48" s="69">
        <v>0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75"/>
    </row>
    <row r="49" spans="1:24" s="76" customFormat="1" ht="30" customHeight="1" x14ac:dyDescent="0.25">
      <c r="A49" s="16">
        <v>5</v>
      </c>
      <c r="B49" s="97" t="s">
        <v>55</v>
      </c>
      <c r="C49" s="98">
        <v>5</v>
      </c>
      <c r="D49" s="98">
        <v>8</v>
      </c>
      <c r="E49" s="99">
        <v>1</v>
      </c>
      <c r="F49" s="70">
        <v>10750</v>
      </c>
      <c r="G49" s="70">
        <f>6150+1000</f>
        <v>7150</v>
      </c>
      <c r="H49" s="99">
        <f>G49/F49</f>
        <v>0.66511627906976745</v>
      </c>
      <c r="I49" s="98">
        <v>65</v>
      </c>
      <c r="J49" s="65">
        <v>61.4</v>
      </c>
      <c r="K49" s="99">
        <f>J49/I49</f>
        <v>0.94461538461538463</v>
      </c>
      <c r="L49" s="64">
        <f>100*(0.35*E49+0.35*H49+0.3*K49)</f>
        <v>86.617531305903398</v>
      </c>
      <c r="M49" s="69">
        <v>85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75"/>
    </row>
    <row r="50" spans="1:24" s="76" customFormat="1" x14ac:dyDescent="0.25">
      <c r="A50" s="15"/>
      <c r="B50" s="1"/>
      <c r="C50" s="105">
        <f>SUM(C45:C49)</f>
        <v>153</v>
      </c>
      <c r="D50" s="105">
        <f>SUM(D45:D49)</f>
        <v>212</v>
      </c>
      <c r="E50" s="105"/>
      <c r="F50" s="106">
        <f>SUM(F45:F49)</f>
        <v>265635</v>
      </c>
      <c r="G50" s="106">
        <f>SUM(G45:G49)</f>
        <v>279418</v>
      </c>
      <c r="H50" s="105"/>
      <c r="I50" s="106">
        <f>SUM(I45:I49)</f>
        <v>1463</v>
      </c>
      <c r="J50" s="106">
        <f>SUM(J45:J49)</f>
        <v>1742.799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75"/>
    </row>
    <row r="51" spans="1:24" s="76" customFormat="1" x14ac:dyDescent="0.25">
      <c r="A51" s="15"/>
      <c r="B51" s="1" t="s">
        <v>56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75"/>
    </row>
    <row r="52" spans="1:24" s="76" customFormat="1" ht="15" customHeight="1" x14ac:dyDescent="0.25">
      <c r="A52" s="5" t="s">
        <v>1</v>
      </c>
      <c r="B52" s="5" t="s">
        <v>2</v>
      </c>
      <c r="C52" s="107" t="s">
        <v>3</v>
      </c>
      <c r="D52" s="108"/>
      <c r="E52" s="108"/>
      <c r="F52" s="108"/>
      <c r="G52" s="108"/>
      <c r="H52" s="108"/>
      <c r="I52" s="108"/>
      <c r="J52" s="108"/>
      <c r="K52" s="108"/>
      <c r="L52" s="109"/>
      <c r="M52" s="5" t="s">
        <v>8</v>
      </c>
      <c r="N52" s="5"/>
      <c r="O52" s="5"/>
      <c r="P52" s="5" t="s">
        <v>42</v>
      </c>
      <c r="Q52" s="9" t="s">
        <v>11</v>
      </c>
      <c r="R52" s="1"/>
      <c r="S52" s="1"/>
      <c r="T52" s="1"/>
      <c r="U52" s="75"/>
    </row>
    <row r="53" spans="1:24" s="76" customFormat="1" ht="133.5" customHeight="1" x14ac:dyDescent="0.25">
      <c r="A53" s="5"/>
      <c r="B53" s="5"/>
      <c r="C53" s="110" t="s">
        <v>57</v>
      </c>
      <c r="D53" s="111"/>
      <c r="E53" s="5" t="s">
        <v>7</v>
      </c>
      <c r="F53" s="107" t="s">
        <v>58</v>
      </c>
      <c r="G53" s="112"/>
      <c r="H53" s="5" t="s">
        <v>7</v>
      </c>
      <c r="I53" s="107" t="s">
        <v>59</v>
      </c>
      <c r="J53" s="112"/>
      <c r="K53" s="5" t="s">
        <v>7</v>
      </c>
      <c r="L53" s="113" t="s">
        <v>7</v>
      </c>
      <c r="M53" s="5" t="s">
        <v>16</v>
      </c>
      <c r="N53" s="5" t="s">
        <v>17</v>
      </c>
      <c r="O53" s="5" t="s">
        <v>9</v>
      </c>
      <c r="P53" s="5"/>
      <c r="Q53" s="14"/>
      <c r="R53" s="1"/>
      <c r="S53" s="1"/>
      <c r="T53" s="1"/>
      <c r="U53" s="75"/>
    </row>
    <row r="54" spans="1:24" s="76" customFormat="1" ht="42" customHeight="1" x14ac:dyDescent="0.25">
      <c r="A54" s="5"/>
      <c r="B54" s="5"/>
      <c r="C54" s="96" t="s">
        <v>16</v>
      </c>
      <c r="D54" s="96" t="s">
        <v>17</v>
      </c>
      <c r="E54" s="5"/>
      <c r="F54" s="96" t="s">
        <v>16</v>
      </c>
      <c r="G54" s="96" t="s">
        <v>17</v>
      </c>
      <c r="H54" s="5"/>
      <c r="I54" s="96" t="s">
        <v>16</v>
      </c>
      <c r="J54" s="96" t="s">
        <v>17</v>
      </c>
      <c r="K54" s="5"/>
      <c r="L54" s="114"/>
      <c r="M54" s="5"/>
      <c r="N54" s="5"/>
      <c r="O54" s="5"/>
      <c r="P54" s="5"/>
      <c r="Q54" s="19"/>
      <c r="R54" s="1"/>
      <c r="S54" s="1"/>
      <c r="T54" s="1"/>
      <c r="U54" s="75"/>
    </row>
    <row r="55" spans="1:24" s="95" customFormat="1" ht="48" customHeight="1" x14ac:dyDescent="0.25">
      <c r="A55" s="20">
        <v>1</v>
      </c>
      <c r="B55" s="104" t="s">
        <v>60</v>
      </c>
      <c r="C55" s="29">
        <v>300000</v>
      </c>
      <c r="D55" s="29">
        <v>353874</v>
      </c>
      <c r="E55" s="90">
        <v>1</v>
      </c>
      <c r="F55" s="29">
        <v>12500</v>
      </c>
      <c r="G55" s="29">
        <f>12870+991</f>
        <v>13861</v>
      </c>
      <c r="H55" s="90">
        <v>1</v>
      </c>
      <c r="I55" s="29">
        <v>112000</v>
      </c>
      <c r="J55" s="29">
        <f>96654+33131</f>
        <v>129785</v>
      </c>
      <c r="K55" s="90">
        <v>1</v>
      </c>
      <c r="L55" s="91">
        <f>1/3*(E55+H55+K55)</f>
        <v>1</v>
      </c>
      <c r="M55" s="29">
        <v>550</v>
      </c>
      <c r="N55" s="29">
        <v>629.84500000000003</v>
      </c>
      <c r="O55" s="90">
        <v>1</v>
      </c>
      <c r="P55" s="64">
        <f>100*(0.35*E55+0.35*L55+0.3*O55)</f>
        <v>100</v>
      </c>
      <c r="Q55" s="69">
        <v>100</v>
      </c>
      <c r="R55" s="32"/>
      <c r="S55" s="32"/>
      <c r="T55" s="32"/>
      <c r="U55" s="94"/>
    </row>
    <row r="56" spans="1:24" s="76" customFormat="1" ht="42.75" customHeight="1" x14ac:dyDescent="0.25">
      <c r="A56" s="16">
        <v>3</v>
      </c>
      <c r="B56" s="104" t="s">
        <v>61</v>
      </c>
      <c r="C56" s="29">
        <v>115090</v>
      </c>
      <c r="D56" s="29">
        <v>112927</v>
      </c>
      <c r="E56" s="115">
        <f>D56/C56</f>
        <v>0.98120601268572416</v>
      </c>
      <c r="F56" s="29">
        <v>5596</v>
      </c>
      <c r="G56" s="101">
        <f>5185+969</f>
        <v>6154</v>
      </c>
      <c r="H56" s="115">
        <v>1</v>
      </c>
      <c r="I56" s="29">
        <v>88340</v>
      </c>
      <c r="J56" s="101">
        <v>88790</v>
      </c>
      <c r="K56" s="115">
        <v>1</v>
      </c>
      <c r="L56" s="116">
        <f>1/3*(E56+H56+K56)</f>
        <v>0.99373533756190802</v>
      </c>
      <c r="M56" s="98"/>
      <c r="N56" s="98"/>
      <c r="O56" s="98">
        <v>0</v>
      </c>
      <c r="P56" s="102">
        <f>100*(0.35*E56+0.35*L56+0.35)</f>
        <v>104.12294725866711</v>
      </c>
      <c r="Q56" s="117">
        <v>100</v>
      </c>
      <c r="R56" s="1"/>
      <c r="S56" s="1"/>
      <c r="T56" s="1"/>
      <c r="U56" s="75"/>
    </row>
    <row r="57" spans="1:24" s="76" customFormat="1" ht="47.25" customHeight="1" x14ac:dyDescent="0.25">
      <c r="A57" s="16">
        <v>4</v>
      </c>
      <c r="B57" s="104" t="s">
        <v>62</v>
      </c>
      <c r="C57" s="118">
        <v>16058</v>
      </c>
      <c r="D57" s="101">
        <f>16905+1915</f>
        <v>18820</v>
      </c>
      <c r="E57" s="115">
        <v>1</v>
      </c>
      <c r="F57" s="118">
        <v>779</v>
      </c>
      <c r="G57" s="119">
        <f>482+228+155</f>
        <v>865</v>
      </c>
      <c r="H57" s="115">
        <v>1</v>
      </c>
      <c r="I57" s="101">
        <v>5925</v>
      </c>
      <c r="J57" s="119">
        <f>4698+327+606</f>
        <v>5631</v>
      </c>
      <c r="K57" s="115">
        <f>J57/I57</f>
        <v>0.95037974683544302</v>
      </c>
      <c r="L57" s="116">
        <f>1/3*(E57+H57+K57)</f>
        <v>0.98345991561181434</v>
      </c>
      <c r="M57" s="98"/>
      <c r="N57" s="98"/>
      <c r="O57" s="98">
        <v>0</v>
      </c>
      <c r="P57" s="102">
        <f>100*(0.35*E57+0.35*L57+0.35)</f>
        <v>104.42109704641349</v>
      </c>
      <c r="Q57" s="117">
        <v>100</v>
      </c>
      <c r="R57" s="1"/>
      <c r="S57" s="1"/>
      <c r="T57" s="1"/>
      <c r="U57" s="75"/>
    </row>
    <row r="58" spans="1:24" s="76" customFormat="1" ht="18" customHeight="1" x14ac:dyDescent="0.25">
      <c r="A58" s="120"/>
      <c r="B58" s="121"/>
      <c r="C58" s="122">
        <f>SUM(C55:C57)</f>
        <v>431148</v>
      </c>
      <c r="D58" s="122">
        <f>SUM(D55:D57)</f>
        <v>485621</v>
      </c>
      <c r="E58" s="123"/>
      <c r="F58" s="122">
        <f>SUM(F55:F57)</f>
        <v>18875</v>
      </c>
      <c r="G58" s="122">
        <f>SUM(G55:G57)</f>
        <v>20880</v>
      </c>
      <c r="H58" s="123"/>
      <c r="I58" s="124">
        <f>SUM(I55:I57)</f>
        <v>206265</v>
      </c>
      <c r="J58" s="124">
        <f>SUM(J55:J57)</f>
        <v>224206</v>
      </c>
      <c r="K58" s="125"/>
      <c r="L58" s="126"/>
      <c r="M58" s="127"/>
      <c r="N58" s="127"/>
      <c r="O58" s="127"/>
      <c r="P58" s="51"/>
      <c r="Q58" s="128"/>
      <c r="R58" s="1"/>
      <c r="S58" s="1"/>
      <c r="T58" s="1"/>
      <c r="U58" s="75"/>
    </row>
    <row r="59" spans="1:24" ht="24.75" customHeight="1" x14ac:dyDescent="0.25"/>
    <row r="60" spans="1:24" ht="30" customHeight="1" x14ac:dyDescent="0.25">
      <c r="A60" s="5" t="s">
        <v>1</v>
      </c>
      <c r="B60" s="5" t="s">
        <v>2</v>
      </c>
      <c r="C60" s="5" t="s">
        <v>5</v>
      </c>
      <c r="D60" s="5"/>
      <c r="E60" s="5" t="s">
        <v>42</v>
      </c>
      <c r="F60" s="129" t="s">
        <v>3</v>
      </c>
      <c r="G60" s="130"/>
      <c r="H60" s="131"/>
      <c r="I60" s="6" t="s">
        <v>4</v>
      </c>
      <c r="J60" s="5" t="s">
        <v>63</v>
      </c>
      <c r="K60" s="5"/>
      <c r="L60" s="113" t="s">
        <v>42</v>
      </c>
      <c r="M60" s="107" t="s">
        <v>8</v>
      </c>
      <c r="N60" s="132"/>
      <c r="O60" s="112"/>
      <c r="P60" s="133" t="s">
        <v>10</v>
      </c>
      <c r="Q60" s="133" t="s">
        <v>11</v>
      </c>
      <c r="U60" s="4"/>
      <c r="V60" s="1"/>
      <c r="X60" s="1"/>
    </row>
    <row r="61" spans="1:24" ht="87.75" customHeight="1" x14ac:dyDescent="0.25">
      <c r="A61" s="5"/>
      <c r="B61" s="5"/>
      <c r="C61" s="5" t="s">
        <v>64</v>
      </c>
      <c r="D61" s="5"/>
      <c r="E61" s="5"/>
      <c r="F61" s="134" t="s">
        <v>65</v>
      </c>
      <c r="G61" s="134"/>
      <c r="H61" s="113" t="s">
        <v>42</v>
      </c>
      <c r="I61" s="6"/>
      <c r="J61" s="5" t="s">
        <v>66</v>
      </c>
      <c r="K61" s="5"/>
      <c r="L61" s="135"/>
      <c r="M61" s="113" t="s">
        <v>16</v>
      </c>
      <c r="N61" s="113" t="s">
        <v>17</v>
      </c>
      <c r="O61" s="113" t="s">
        <v>9</v>
      </c>
      <c r="P61" s="136"/>
      <c r="Q61" s="136"/>
      <c r="U61" s="4"/>
      <c r="V61" s="1"/>
      <c r="X61" s="1"/>
    </row>
    <row r="62" spans="1:24" ht="18" customHeight="1" x14ac:dyDescent="0.25">
      <c r="A62" s="5"/>
      <c r="B62" s="5"/>
      <c r="C62" s="96" t="s">
        <v>16</v>
      </c>
      <c r="D62" s="96" t="s">
        <v>17</v>
      </c>
      <c r="E62" s="5"/>
      <c r="F62" s="96" t="s">
        <v>16</v>
      </c>
      <c r="G62" s="96" t="s">
        <v>17</v>
      </c>
      <c r="H62" s="114"/>
      <c r="I62" s="6"/>
      <c r="J62" s="96" t="s">
        <v>16</v>
      </c>
      <c r="K62" s="96" t="s">
        <v>17</v>
      </c>
      <c r="L62" s="114"/>
      <c r="M62" s="114"/>
      <c r="N62" s="114"/>
      <c r="O62" s="114"/>
      <c r="P62" s="137"/>
      <c r="Q62" s="137"/>
      <c r="U62" s="4"/>
      <c r="V62" s="1"/>
      <c r="X62" s="1"/>
    </row>
    <row r="63" spans="1:24" ht="47.25" customHeight="1" x14ac:dyDescent="0.25">
      <c r="A63" s="138"/>
      <c r="B63" s="139" t="s">
        <v>67</v>
      </c>
      <c r="C63" s="30">
        <v>686</v>
      </c>
      <c r="D63" s="30">
        <v>666</v>
      </c>
      <c r="E63" s="140">
        <f>D63/C63</f>
        <v>0.9708454810495627</v>
      </c>
      <c r="F63" s="141">
        <v>656</v>
      </c>
      <c r="G63" s="34">
        <v>624</v>
      </c>
      <c r="H63" s="142">
        <f>G63/F63</f>
        <v>0.95121951219512191</v>
      </c>
      <c r="I63" s="143">
        <f>(H63+E63)/2</f>
        <v>0.96103249662234225</v>
      </c>
      <c r="J63" s="144">
        <v>23</v>
      </c>
      <c r="K63" s="144">
        <v>25</v>
      </c>
      <c r="L63" s="145">
        <v>1</v>
      </c>
      <c r="M63" s="146"/>
      <c r="N63" s="146"/>
      <c r="O63" s="147" t="e">
        <f>N63/M63</f>
        <v>#DIV/0!</v>
      </c>
      <c r="P63" s="148">
        <f>100*(0.35*E63+0.35*I63+0.3*L63)</f>
        <v>97.615729218516663</v>
      </c>
      <c r="Q63" s="149">
        <v>85</v>
      </c>
      <c r="U63" s="4"/>
      <c r="V63" s="1"/>
      <c r="X63" s="1"/>
    </row>
    <row r="64" spans="1:24" ht="45" x14ac:dyDescent="0.25">
      <c r="A64" s="138"/>
      <c r="B64" s="139" t="s">
        <v>68</v>
      </c>
      <c r="C64" s="146">
        <v>410</v>
      </c>
      <c r="D64" s="146">
        <v>404</v>
      </c>
      <c r="E64" s="142">
        <f>D64/C64</f>
        <v>0.98536585365853657</v>
      </c>
      <c r="F64" s="144">
        <v>378</v>
      </c>
      <c r="G64" s="144">
        <v>380</v>
      </c>
      <c r="H64" s="145">
        <v>1</v>
      </c>
      <c r="I64" s="143">
        <f>(H64+E64)/2</f>
        <v>0.99268292682926829</v>
      </c>
      <c r="J64" s="98">
        <v>11</v>
      </c>
      <c r="K64" s="98">
        <v>16</v>
      </c>
      <c r="L64" s="150">
        <v>1</v>
      </c>
      <c r="M64" s="30">
        <v>70</v>
      </c>
      <c r="N64" s="30">
        <v>104</v>
      </c>
      <c r="O64" s="147">
        <v>1</v>
      </c>
      <c r="P64" s="151">
        <f>100*(0.35*E64+0.35*I64+0.3*L64)</f>
        <v>99.231707317073159</v>
      </c>
      <c r="Q64" s="152">
        <v>85</v>
      </c>
      <c r="U64" s="4"/>
      <c r="V64" s="1"/>
      <c r="X64" s="1"/>
    </row>
    <row r="65" spans="1:24" ht="60" x14ac:dyDescent="0.25">
      <c r="A65" s="138"/>
      <c r="B65" s="141" t="s">
        <v>69</v>
      </c>
      <c r="C65" s="146">
        <v>146</v>
      </c>
      <c r="D65" s="146">
        <v>117</v>
      </c>
      <c r="E65" s="142">
        <f>D65/C65</f>
        <v>0.80136986301369861</v>
      </c>
      <c r="F65" s="144">
        <v>123</v>
      </c>
      <c r="G65" s="144">
        <v>115</v>
      </c>
      <c r="H65" s="145">
        <f>G65/F65</f>
        <v>0.93495934959349591</v>
      </c>
      <c r="I65" s="143">
        <f>(H65+E65)/2</f>
        <v>0.86816460630359726</v>
      </c>
      <c r="J65" s="144">
        <v>8</v>
      </c>
      <c r="K65" s="144">
        <v>4</v>
      </c>
      <c r="L65" s="145">
        <v>1</v>
      </c>
      <c r="M65" s="153"/>
      <c r="N65" s="153"/>
      <c r="O65" s="147" t="e">
        <f>N65/M65</f>
        <v>#DIV/0!</v>
      </c>
      <c r="P65" s="151">
        <f>100*(0.35*E65+0.35*I65+0.3*L65)</f>
        <v>88.433706426105346</v>
      </c>
      <c r="Q65" s="152">
        <v>85</v>
      </c>
      <c r="U65" s="4"/>
      <c r="V65" s="1"/>
      <c r="X65" s="1"/>
    </row>
    <row r="66" spans="1:24" ht="32.25" customHeight="1" x14ac:dyDescent="0.25">
      <c r="A66" s="138"/>
      <c r="B66" s="154" t="s">
        <v>70</v>
      </c>
      <c r="C66" s="146">
        <v>112</v>
      </c>
      <c r="D66" s="146">
        <v>99</v>
      </c>
      <c r="E66" s="142">
        <f>D66/C66</f>
        <v>0.8839285714285714</v>
      </c>
      <c r="F66" s="144">
        <v>102</v>
      </c>
      <c r="G66" s="144">
        <v>96</v>
      </c>
      <c r="H66" s="142">
        <f>G66/F66</f>
        <v>0.94117647058823528</v>
      </c>
      <c r="I66" s="143">
        <f>(H66+E66)/2</f>
        <v>0.91255252100840334</v>
      </c>
      <c r="J66" s="141">
        <v>7</v>
      </c>
      <c r="K66" s="141">
        <v>55</v>
      </c>
      <c r="L66" s="145">
        <v>1</v>
      </c>
      <c r="M66" s="153"/>
      <c r="N66" s="153">
        <v>5.3490000000000002</v>
      </c>
      <c r="O66" s="147" t="e">
        <f>N66/M66</f>
        <v>#DIV/0!</v>
      </c>
      <c r="P66" s="151">
        <f>100*(0.35*E66+0.35*I66+0.3*L66)</f>
        <v>92.876838235294116</v>
      </c>
      <c r="Q66" s="152">
        <v>85</v>
      </c>
      <c r="U66" s="4"/>
      <c r="V66" s="1"/>
      <c r="X66" s="1"/>
    </row>
    <row r="67" spans="1:24" s="127" customFormat="1" x14ac:dyDescent="0.25">
      <c r="B67" s="155"/>
      <c r="C67" s="156"/>
      <c r="D67" s="156"/>
      <c r="E67" s="157"/>
      <c r="F67" s="158"/>
      <c r="H67" s="157"/>
      <c r="K67" s="157"/>
      <c r="O67" s="157"/>
      <c r="P67" s="158"/>
      <c r="T67" s="159"/>
      <c r="V67" s="159"/>
      <c r="X67" s="52"/>
    </row>
    <row r="68" spans="1:24" s="127" customFormat="1" x14ac:dyDescent="0.25">
      <c r="B68" s="155"/>
      <c r="C68" s="156"/>
      <c r="D68" s="156"/>
      <c r="E68" s="157"/>
      <c r="F68" s="158"/>
      <c r="H68" s="157"/>
      <c r="K68" s="157"/>
      <c r="O68" s="157"/>
      <c r="P68" s="158"/>
      <c r="T68" s="159"/>
      <c r="V68" s="159"/>
      <c r="X68" s="52"/>
    </row>
    <row r="69" spans="1:24" ht="36.75" customHeight="1" x14ac:dyDescent="0.25">
      <c r="A69" s="98"/>
      <c r="B69" s="5" t="s">
        <v>2</v>
      </c>
      <c r="C69" s="5" t="s">
        <v>5</v>
      </c>
      <c r="D69" s="5"/>
      <c r="E69" s="5" t="s">
        <v>42</v>
      </c>
      <c r="F69" s="129" t="s">
        <v>3</v>
      </c>
      <c r="G69" s="130"/>
      <c r="H69" s="131"/>
      <c r="I69" s="6" t="s">
        <v>4</v>
      </c>
      <c r="J69" s="107" t="s">
        <v>63</v>
      </c>
      <c r="K69" s="112"/>
      <c r="L69" s="5" t="s">
        <v>42</v>
      </c>
      <c r="M69" s="107" t="s">
        <v>8</v>
      </c>
      <c r="N69" s="132"/>
      <c r="O69" s="112"/>
      <c r="P69" s="133" t="s">
        <v>10</v>
      </c>
      <c r="Q69" s="133" t="s">
        <v>11</v>
      </c>
      <c r="U69" s="4"/>
      <c r="V69" s="1"/>
      <c r="X69" s="1"/>
    </row>
    <row r="70" spans="1:24" ht="62.25" customHeight="1" x14ac:dyDescent="0.25">
      <c r="A70" s="98"/>
      <c r="B70" s="5"/>
      <c r="C70" s="5" t="s">
        <v>71</v>
      </c>
      <c r="D70" s="5"/>
      <c r="E70" s="5"/>
      <c r="F70" s="134" t="s">
        <v>64</v>
      </c>
      <c r="G70" s="134"/>
      <c r="H70" s="113" t="s">
        <v>42</v>
      </c>
      <c r="I70" s="6"/>
      <c r="J70" s="107" t="s">
        <v>72</v>
      </c>
      <c r="K70" s="112"/>
      <c r="L70" s="5"/>
      <c r="M70" s="160" t="s">
        <v>16</v>
      </c>
      <c r="N70" s="160" t="s">
        <v>17</v>
      </c>
      <c r="O70" s="113" t="s">
        <v>9</v>
      </c>
      <c r="P70" s="136"/>
      <c r="Q70" s="136"/>
      <c r="U70" s="4"/>
      <c r="V70" s="1"/>
      <c r="X70" s="1"/>
    </row>
    <row r="71" spans="1:24" ht="18.75" customHeight="1" x14ac:dyDescent="0.25">
      <c r="A71" s="98"/>
      <c r="B71" s="5"/>
      <c r="C71" s="96" t="s">
        <v>16</v>
      </c>
      <c r="D71" s="96" t="s">
        <v>17</v>
      </c>
      <c r="E71" s="5"/>
      <c r="F71" s="96" t="s">
        <v>16</v>
      </c>
      <c r="G71" s="96" t="s">
        <v>17</v>
      </c>
      <c r="H71" s="114"/>
      <c r="I71" s="6"/>
      <c r="J71" s="96" t="s">
        <v>16</v>
      </c>
      <c r="K71" s="96" t="s">
        <v>17</v>
      </c>
      <c r="L71" s="5"/>
      <c r="M71" s="161"/>
      <c r="N71" s="161"/>
      <c r="O71" s="114"/>
      <c r="P71" s="137"/>
      <c r="Q71" s="137"/>
      <c r="U71" s="4"/>
      <c r="V71" s="1"/>
      <c r="X71" s="1"/>
    </row>
    <row r="72" spans="1:24" s="32" customFormat="1" ht="45" x14ac:dyDescent="0.25">
      <c r="A72" s="162"/>
      <c r="B72" s="141" t="s">
        <v>73</v>
      </c>
      <c r="C72" s="30">
        <f>71600/1000</f>
        <v>71.599999999999994</v>
      </c>
      <c r="D72" s="30">
        <f>9700/168</f>
        <v>57.738095238095241</v>
      </c>
      <c r="E72" s="140">
        <f>D72/C72</f>
        <v>0.80639797818568781</v>
      </c>
      <c r="F72" s="141">
        <v>204</v>
      </c>
      <c r="G72" s="163">
        <v>168</v>
      </c>
      <c r="H72" s="140">
        <f>G72/F72</f>
        <v>0.82352941176470584</v>
      </c>
      <c r="I72" s="140">
        <f>(H72+E72)/2</f>
        <v>0.81496369497519683</v>
      </c>
      <c r="J72" s="141">
        <v>9</v>
      </c>
      <c r="K72" s="141">
        <v>14</v>
      </c>
      <c r="L72" s="140">
        <v>1</v>
      </c>
      <c r="M72" s="164">
        <v>0</v>
      </c>
      <c r="N72" s="163">
        <v>0</v>
      </c>
      <c r="O72" s="164" t="e">
        <f>N72/M72</f>
        <v>#DIV/0!</v>
      </c>
      <c r="P72" s="148">
        <f>100*(0.35*E72+0.35*I72+0.3*L72)</f>
        <v>86.747658560630953</v>
      </c>
      <c r="Q72" s="165">
        <v>85</v>
      </c>
      <c r="S72" s="166"/>
      <c r="U72" s="167"/>
    </row>
    <row r="73" spans="1:24" ht="60" x14ac:dyDescent="0.25">
      <c r="A73" s="138"/>
      <c r="B73" s="168" t="s">
        <v>74</v>
      </c>
      <c r="C73" s="30">
        <f>41800/1000</f>
        <v>41.8</v>
      </c>
      <c r="D73" s="30">
        <v>36</v>
      </c>
      <c r="E73" s="140">
        <f>D73/C73</f>
        <v>0.86124401913875603</v>
      </c>
      <c r="F73" s="141">
        <v>250</v>
      </c>
      <c r="G73" s="141">
        <v>252</v>
      </c>
      <c r="H73" s="140">
        <v>1</v>
      </c>
      <c r="I73" s="140">
        <f>(H73+E73)/2</f>
        <v>0.93062200956937802</v>
      </c>
      <c r="J73" s="141">
        <v>6</v>
      </c>
      <c r="K73" s="141">
        <v>5</v>
      </c>
      <c r="L73" s="140">
        <f>K73/J73</f>
        <v>0.83333333333333337</v>
      </c>
      <c r="M73" s="164">
        <v>0</v>
      </c>
      <c r="N73" s="163">
        <v>0</v>
      </c>
      <c r="O73" s="164" t="e">
        <f>N73/M73</f>
        <v>#DIV/0!</v>
      </c>
      <c r="P73" s="148">
        <f>100*(0.35*E73+0.35*I73+0.3*L73)</f>
        <v>87.715311004784695</v>
      </c>
      <c r="Q73" s="165">
        <v>85</v>
      </c>
      <c r="U73" s="4"/>
      <c r="V73" s="1"/>
      <c r="X73" s="1"/>
    </row>
    <row r="74" spans="1:24" ht="60" x14ac:dyDescent="0.25">
      <c r="A74" s="138"/>
      <c r="B74" s="169" t="s">
        <v>75</v>
      </c>
      <c r="C74" s="146">
        <f>302950/1000</f>
        <v>302.95</v>
      </c>
      <c r="D74" s="146">
        <v>224.8</v>
      </c>
      <c r="E74" s="142">
        <f>D74/C74</f>
        <v>0.74203663970952305</v>
      </c>
      <c r="F74" s="144">
        <v>210</v>
      </c>
      <c r="G74" s="144">
        <v>210</v>
      </c>
      <c r="H74" s="142">
        <f>G74/F74</f>
        <v>1</v>
      </c>
      <c r="I74" s="143">
        <f>(H74+E74)/2</f>
        <v>0.87101831985476152</v>
      </c>
      <c r="J74" s="144">
        <v>6</v>
      </c>
      <c r="K74" s="144">
        <v>6</v>
      </c>
      <c r="L74" s="142">
        <f>K74/J74</f>
        <v>1</v>
      </c>
      <c r="M74" s="170">
        <v>875</v>
      </c>
      <c r="N74" s="171">
        <v>716.61500000000001</v>
      </c>
      <c r="O74" s="170">
        <v>1</v>
      </c>
      <c r="P74" s="148">
        <f>100*(0.35*E74+0.35*I74+0.3*L74)</f>
        <v>86.456923584749973</v>
      </c>
      <c r="Q74" s="172">
        <v>85</v>
      </c>
      <c r="U74" s="4"/>
      <c r="V74" s="1"/>
      <c r="X74" s="1"/>
    </row>
    <row r="75" spans="1:24" s="127" customFormat="1" x14ac:dyDescent="0.25">
      <c r="B75" s="173"/>
      <c r="C75" s="156"/>
      <c r="D75" s="156"/>
      <c r="E75" s="157"/>
      <c r="F75" s="158"/>
      <c r="H75" s="157"/>
      <c r="K75" s="174"/>
      <c r="L75" s="175"/>
      <c r="O75" s="157"/>
      <c r="P75" s="158"/>
      <c r="T75" s="159"/>
      <c r="V75" s="159"/>
      <c r="X75" s="52"/>
    </row>
    <row r="76" spans="1:24" ht="32.25" customHeight="1" x14ac:dyDescent="0.25">
      <c r="A76" s="53"/>
      <c r="B76" s="5" t="s">
        <v>2</v>
      </c>
      <c r="C76" s="5" t="s">
        <v>5</v>
      </c>
      <c r="D76" s="5"/>
      <c r="E76" s="5" t="s">
        <v>42</v>
      </c>
      <c r="F76" s="129" t="s">
        <v>3</v>
      </c>
      <c r="G76" s="130"/>
      <c r="H76" s="131"/>
      <c r="I76" s="6" t="s">
        <v>4</v>
      </c>
      <c r="J76" s="107" t="s">
        <v>63</v>
      </c>
      <c r="K76" s="112"/>
      <c r="L76" s="5" t="s">
        <v>42</v>
      </c>
      <c r="M76" s="107" t="s">
        <v>8</v>
      </c>
      <c r="N76" s="132"/>
      <c r="O76" s="112"/>
      <c r="P76" s="133" t="s">
        <v>10</v>
      </c>
      <c r="Q76" s="133" t="s">
        <v>11</v>
      </c>
      <c r="U76" s="4"/>
      <c r="V76" s="1"/>
      <c r="X76" s="1"/>
    </row>
    <row r="77" spans="1:24" ht="62.25" customHeight="1" x14ac:dyDescent="0.25">
      <c r="A77" s="58"/>
      <c r="B77" s="5"/>
      <c r="C77" s="5" t="s">
        <v>71</v>
      </c>
      <c r="D77" s="5"/>
      <c r="E77" s="5"/>
      <c r="F77" s="5" t="s">
        <v>64</v>
      </c>
      <c r="G77" s="5"/>
      <c r="H77" s="113" t="s">
        <v>42</v>
      </c>
      <c r="I77" s="6"/>
      <c r="J77" s="107" t="s">
        <v>76</v>
      </c>
      <c r="K77" s="112"/>
      <c r="L77" s="5"/>
      <c r="M77" s="113" t="s">
        <v>16</v>
      </c>
      <c r="N77" s="113" t="s">
        <v>17</v>
      </c>
      <c r="O77" s="113" t="s">
        <v>9</v>
      </c>
      <c r="P77" s="136"/>
      <c r="Q77" s="136"/>
      <c r="U77" s="4"/>
      <c r="V77" s="1"/>
      <c r="X77" s="1"/>
    </row>
    <row r="78" spans="1:24" ht="15" customHeight="1" x14ac:dyDescent="0.25">
      <c r="A78" s="61"/>
      <c r="B78" s="5"/>
      <c r="C78" s="96" t="s">
        <v>16</v>
      </c>
      <c r="D78" s="96" t="s">
        <v>17</v>
      </c>
      <c r="E78" s="5"/>
      <c r="F78" s="96" t="s">
        <v>16</v>
      </c>
      <c r="G78" s="96" t="s">
        <v>17</v>
      </c>
      <c r="H78" s="114"/>
      <c r="I78" s="6"/>
      <c r="J78" s="96" t="s">
        <v>16</v>
      </c>
      <c r="K78" s="96" t="s">
        <v>17</v>
      </c>
      <c r="L78" s="5"/>
      <c r="M78" s="114"/>
      <c r="N78" s="114"/>
      <c r="O78" s="114"/>
      <c r="P78" s="137"/>
      <c r="Q78" s="137"/>
      <c r="U78" s="4"/>
      <c r="V78" s="1"/>
      <c r="X78" s="1"/>
    </row>
    <row r="79" spans="1:24" s="32" customFormat="1" x14ac:dyDescent="0.25">
      <c r="A79" s="162"/>
      <c r="B79" s="176" t="s">
        <v>77</v>
      </c>
      <c r="C79" s="177">
        <v>18</v>
      </c>
      <c r="D79" s="177">
        <f>12.48+1</f>
        <v>13.48</v>
      </c>
      <c r="E79" s="178">
        <f>D79/C79</f>
        <v>0.74888888888888894</v>
      </c>
      <c r="F79" s="179">
        <v>250</v>
      </c>
      <c r="G79" s="162">
        <v>360</v>
      </c>
      <c r="H79" s="178">
        <v>1</v>
      </c>
      <c r="I79" s="27">
        <f>(H79+E79)/2</f>
        <v>0.87444444444444447</v>
      </c>
      <c r="J79" s="179">
        <v>16</v>
      </c>
      <c r="K79" s="162">
        <v>25</v>
      </c>
      <c r="L79" s="178">
        <v>1</v>
      </c>
      <c r="M79" s="180">
        <v>0</v>
      </c>
      <c r="N79" s="180">
        <v>0</v>
      </c>
      <c r="O79" s="180" t="e">
        <f>N79/M79</f>
        <v>#DIV/0!</v>
      </c>
      <c r="P79" s="66">
        <f>100*(0.35*E79+0.35*I79+0.3*L79)</f>
        <v>86.816666666666677</v>
      </c>
      <c r="Q79" s="181">
        <v>85</v>
      </c>
      <c r="S79" s="166"/>
      <c r="U79" s="167"/>
      <c r="W79" s="182">
        <f>N74+N66+N55+J50+W33+W18+Q39</f>
        <v>3594.6080000000002</v>
      </c>
    </row>
    <row r="80" spans="1:24" x14ac:dyDescent="0.25">
      <c r="Q80" s="183"/>
    </row>
    <row r="87" spans="4:4" x14ac:dyDescent="0.25">
      <c r="D87" s="1">
        <f>143.2/4</f>
        <v>35.799999999999997</v>
      </c>
    </row>
  </sheetData>
  <mergeCells count="143">
    <mergeCell ref="N77:N78"/>
    <mergeCell ref="O77:O78"/>
    <mergeCell ref="J76:K76"/>
    <mergeCell ref="L76:L78"/>
    <mergeCell ref="M76:O76"/>
    <mergeCell ref="P76:P78"/>
    <mergeCell ref="Q76:Q78"/>
    <mergeCell ref="C77:D77"/>
    <mergeCell ref="F77:G77"/>
    <mergeCell ref="H77:H78"/>
    <mergeCell ref="J77:K77"/>
    <mergeCell ref="M77:M78"/>
    <mergeCell ref="A76:A78"/>
    <mergeCell ref="B76:B78"/>
    <mergeCell ref="C76:D76"/>
    <mergeCell ref="E76:E78"/>
    <mergeCell ref="F76:H76"/>
    <mergeCell ref="I76:I78"/>
    <mergeCell ref="P69:P71"/>
    <mergeCell ref="Q69:Q71"/>
    <mergeCell ref="C70:D70"/>
    <mergeCell ref="F70:G70"/>
    <mergeCell ref="H70:H71"/>
    <mergeCell ref="J70:K70"/>
    <mergeCell ref="O70:O71"/>
    <mergeCell ref="N61:N62"/>
    <mergeCell ref="O61:O62"/>
    <mergeCell ref="B69:B71"/>
    <mergeCell ref="C69:D69"/>
    <mergeCell ref="E69:E71"/>
    <mergeCell ref="F69:H69"/>
    <mergeCell ref="I69:I71"/>
    <mergeCell ref="J69:K69"/>
    <mergeCell ref="L69:L71"/>
    <mergeCell ref="M69:O69"/>
    <mergeCell ref="J60:K60"/>
    <mergeCell ref="L60:L62"/>
    <mergeCell ref="M60:O60"/>
    <mergeCell ref="P60:P62"/>
    <mergeCell ref="Q60:Q62"/>
    <mergeCell ref="C61:D61"/>
    <mergeCell ref="F61:G61"/>
    <mergeCell ref="H61:H62"/>
    <mergeCell ref="J61:K61"/>
    <mergeCell ref="M61:M62"/>
    <mergeCell ref="A60:A62"/>
    <mergeCell ref="B60:B62"/>
    <mergeCell ref="C60:D60"/>
    <mergeCell ref="E60:E62"/>
    <mergeCell ref="F60:H60"/>
    <mergeCell ref="I60:I62"/>
    <mergeCell ref="I53:J53"/>
    <mergeCell ref="K53:K54"/>
    <mergeCell ref="L53:L54"/>
    <mergeCell ref="M53:M54"/>
    <mergeCell ref="N53:N54"/>
    <mergeCell ref="O53:O54"/>
    <mergeCell ref="A52:A54"/>
    <mergeCell ref="B52:B54"/>
    <mergeCell ref="C52:L52"/>
    <mergeCell ref="M52:O52"/>
    <mergeCell ref="P52:P54"/>
    <mergeCell ref="Q52:Q54"/>
    <mergeCell ref="C53:D53"/>
    <mergeCell ref="E53:E54"/>
    <mergeCell ref="F53:G53"/>
    <mergeCell ref="H53:H54"/>
    <mergeCell ref="E43:E44"/>
    <mergeCell ref="F43:G43"/>
    <mergeCell ref="H43:H44"/>
    <mergeCell ref="I43:I44"/>
    <mergeCell ref="J43:J44"/>
    <mergeCell ref="K43:K44"/>
    <mergeCell ref="Q37:Q38"/>
    <mergeCell ref="R37:R38"/>
    <mergeCell ref="A42:A44"/>
    <mergeCell ref="B42:B44"/>
    <mergeCell ref="C42:E42"/>
    <mergeCell ref="F42:H42"/>
    <mergeCell ref="I42:K42"/>
    <mergeCell ref="L42:L44"/>
    <mergeCell ref="M42:M44"/>
    <mergeCell ref="C43:D43"/>
    <mergeCell ref="S36:S38"/>
    <mergeCell ref="T36:T38"/>
    <mergeCell ref="C37:D37"/>
    <mergeCell ref="E37:E38"/>
    <mergeCell ref="F37:G37"/>
    <mergeCell ref="H37:H38"/>
    <mergeCell ref="I37:J37"/>
    <mergeCell ref="K37:K38"/>
    <mergeCell ref="L37:M37"/>
    <mergeCell ref="N37:N38"/>
    <mergeCell ref="O20:O21"/>
    <mergeCell ref="Q20:Q21"/>
    <mergeCell ref="R20:R21"/>
    <mergeCell ref="A36:A38"/>
    <mergeCell ref="B36:B38"/>
    <mergeCell ref="C36:H36"/>
    <mergeCell ref="I36:M36"/>
    <mergeCell ref="P36:R36"/>
    <mergeCell ref="O37:O38"/>
    <mergeCell ref="P37:P38"/>
    <mergeCell ref="S19:S21"/>
    <mergeCell ref="T19:T21"/>
    <mergeCell ref="U19:U21"/>
    <mergeCell ref="C20:D20"/>
    <mergeCell ref="E20:E21"/>
    <mergeCell ref="F20:G20"/>
    <mergeCell ref="H20:H21"/>
    <mergeCell ref="J20:K20"/>
    <mergeCell ref="L20:L21"/>
    <mergeCell ref="M20:N20"/>
    <mergeCell ref="Q4:Q5"/>
    <mergeCell ref="R4:R5"/>
    <mergeCell ref="A19:A21"/>
    <mergeCell ref="B19:B21"/>
    <mergeCell ref="C19:H19"/>
    <mergeCell ref="I19:I21"/>
    <mergeCell ref="J19:L19"/>
    <mergeCell ref="M19:O19"/>
    <mergeCell ref="P19:P21"/>
    <mergeCell ref="Q19:R19"/>
    <mergeCell ref="T3:T5"/>
    <mergeCell ref="U3:U5"/>
    <mergeCell ref="C4:D4"/>
    <mergeCell ref="E4:E5"/>
    <mergeCell ref="F4:G4"/>
    <mergeCell ref="H4:H5"/>
    <mergeCell ref="J4:K4"/>
    <mergeCell ref="L4:L5"/>
    <mergeCell ref="M4:N4"/>
    <mergeCell ref="O4:O5"/>
    <mergeCell ref="B1:U1"/>
    <mergeCell ref="A3:A5"/>
    <mergeCell ref="B3:B5"/>
    <mergeCell ref="C3:H3"/>
    <mergeCell ref="I3:I5"/>
    <mergeCell ref="J3:L3"/>
    <mergeCell ref="M3:O3"/>
    <mergeCell ref="P3:P5"/>
    <mergeCell ref="Q3:R3"/>
    <mergeCell ref="S3:S5"/>
  </mergeCells>
  <pageMargins left="0.31496062992125984" right="0.31496062992125984" top="0.35433070866141736" bottom="0.35433070866141736" header="0.31496062992125984" footer="0.31496062992125984"/>
  <pageSetup paperSize="9" scale="58" orientation="landscape" horizontalDpi="180" verticalDpi="180" r:id="rId1"/>
  <rowBreaks count="3" manualBreakCount="3">
    <brk id="33" max="20" man="1"/>
    <brk id="58" max="20" man="1"/>
    <brk id="59" max="20" man="1"/>
  </rowBreaks>
  <colBreaks count="1" manualBreakCount="1">
    <brk id="21" max="7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tabSelected="1" view="pageBreakPreview" topLeftCell="A22" zoomScaleNormal="100" zoomScaleSheetLayoutView="100" workbookViewId="0">
      <selection activeCell="E43" sqref="E43"/>
    </sheetView>
  </sheetViews>
  <sheetFormatPr defaultRowHeight="15" x14ac:dyDescent="0.25"/>
  <cols>
    <col min="1" max="1" width="33.140625" style="228" customWidth="1"/>
    <col min="2" max="2" width="20.7109375" style="1" customWidth="1"/>
    <col min="3" max="3" width="11" style="1" customWidth="1"/>
    <col min="4" max="4" width="11.140625" style="1" customWidth="1"/>
    <col min="5" max="5" width="15" style="32" customWidth="1"/>
    <col min="6" max="6" width="14.5703125" style="32" customWidth="1"/>
    <col min="7" max="7" width="11.5703125" style="32" customWidth="1"/>
    <col min="8" max="8" width="12.42578125" style="32" customWidth="1"/>
    <col min="9" max="9" width="23.5703125" style="32" customWidth="1"/>
    <col min="10" max="10" width="15.42578125" style="32" customWidth="1"/>
    <col min="11" max="11" width="16.7109375" style="32" customWidth="1"/>
    <col min="12" max="12" width="9.42578125" style="32" customWidth="1"/>
    <col min="13" max="13" width="11" style="32" customWidth="1"/>
    <col min="14" max="14" width="9.28515625" style="1" customWidth="1"/>
    <col min="15" max="16384" width="9.140625" style="185"/>
  </cols>
  <sheetData>
    <row r="1" spans="1:26" ht="32.25" customHeight="1" x14ac:dyDescent="0.25">
      <c r="A1" s="184" t="s">
        <v>78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</row>
    <row r="2" spans="1:26" s="192" customFormat="1" ht="144.75" customHeight="1" x14ac:dyDescent="0.25">
      <c r="A2" s="186" t="s">
        <v>79</v>
      </c>
      <c r="B2" s="187" t="s">
        <v>80</v>
      </c>
      <c r="C2" s="188" t="s">
        <v>81</v>
      </c>
      <c r="D2" s="189"/>
      <c r="E2" s="189" t="s">
        <v>82</v>
      </c>
      <c r="F2" s="189"/>
      <c r="G2" s="189" t="s">
        <v>83</v>
      </c>
      <c r="H2" s="189"/>
      <c r="I2" s="187" t="s">
        <v>84</v>
      </c>
      <c r="J2" s="189" t="s">
        <v>85</v>
      </c>
      <c r="K2" s="189"/>
      <c r="L2" s="189" t="s">
        <v>86</v>
      </c>
      <c r="M2" s="189"/>
      <c r="N2" s="190" t="s">
        <v>87</v>
      </c>
      <c r="O2" s="189" t="s">
        <v>88</v>
      </c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</row>
    <row r="3" spans="1:26" s="192" customFormat="1" ht="82.5" customHeight="1" x14ac:dyDescent="0.25">
      <c r="A3" s="193" t="s">
        <v>89</v>
      </c>
      <c r="B3" s="187" t="s">
        <v>90</v>
      </c>
      <c r="C3" s="189" t="s">
        <v>91</v>
      </c>
      <c r="D3" s="189"/>
      <c r="E3" s="189" t="s">
        <v>92</v>
      </c>
      <c r="F3" s="189"/>
      <c r="G3" s="189" t="s">
        <v>93</v>
      </c>
      <c r="H3" s="189"/>
      <c r="I3" s="187" t="s">
        <v>94</v>
      </c>
      <c r="J3" s="189" t="s">
        <v>95</v>
      </c>
      <c r="K3" s="189"/>
      <c r="L3" s="189" t="s">
        <v>96</v>
      </c>
      <c r="M3" s="189"/>
      <c r="N3" s="190"/>
      <c r="O3" s="189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</row>
    <row r="4" spans="1:26" s="192" customFormat="1" ht="45" x14ac:dyDescent="0.25">
      <c r="A4" s="141" t="s">
        <v>97</v>
      </c>
      <c r="B4" s="194" t="s">
        <v>98</v>
      </c>
      <c r="C4" s="194" t="s">
        <v>99</v>
      </c>
      <c r="D4" s="194" t="s">
        <v>100</v>
      </c>
      <c r="E4" s="195" t="s">
        <v>101</v>
      </c>
      <c r="F4" s="195" t="s">
        <v>102</v>
      </c>
      <c r="G4" s="194" t="s">
        <v>103</v>
      </c>
      <c r="H4" s="194" t="s">
        <v>104</v>
      </c>
      <c r="I4" s="194" t="s">
        <v>98</v>
      </c>
      <c r="J4" s="194" t="s">
        <v>105</v>
      </c>
      <c r="K4" s="194" t="s">
        <v>106</v>
      </c>
      <c r="L4" s="194" t="s">
        <v>107</v>
      </c>
      <c r="M4" s="194" t="s">
        <v>108</v>
      </c>
      <c r="N4" s="194"/>
      <c r="O4" s="189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</row>
    <row r="5" spans="1:26" s="198" customFormat="1" ht="48.75" customHeight="1" x14ac:dyDescent="0.25">
      <c r="A5" s="196" t="s">
        <v>109</v>
      </c>
      <c r="B5" s="196" t="s">
        <v>110</v>
      </c>
      <c r="C5" s="196">
        <v>10</v>
      </c>
      <c r="D5" s="196">
        <v>-10</v>
      </c>
      <c r="E5" s="196">
        <v>10</v>
      </c>
      <c r="F5" s="196">
        <v>-10</v>
      </c>
      <c r="G5" s="196">
        <v>0</v>
      </c>
      <c r="H5" s="196">
        <v>-30</v>
      </c>
      <c r="I5" s="196" t="s">
        <v>111</v>
      </c>
      <c r="J5" s="196">
        <v>30</v>
      </c>
      <c r="K5" s="196">
        <v>-30</v>
      </c>
      <c r="L5" s="196">
        <v>-30</v>
      </c>
      <c r="M5" s="196">
        <v>0</v>
      </c>
      <c r="N5" s="196"/>
      <c r="O5" s="196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</row>
    <row r="6" spans="1:26" ht="19.5" x14ac:dyDescent="0.25">
      <c r="A6" s="199" t="s">
        <v>112</v>
      </c>
      <c r="B6" s="200">
        <f>'[1]Уровень исп. ГЗ'!T39</f>
        <v>100</v>
      </c>
      <c r="C6" s="201">
        <v>10</v>
      </c>
      <c r="D6" s="201"/>
      <c r="E6" s="202">
        <v>10</v>
      </c>
      <c r="F6" s="202"/>
      <c r="G6" s="202">
        <v>0</v>
      </c>
      <c r="H6" s="202"/>
      <c r="I6" s="202">
        <f>'[1]Уровень сред ЗП'!I6</f>
        <v>100</v>
      </c>
      <c r="J6" s="202"/>
      <c r="K6" s="202"/>
      <c r="L6" s="202"/>
      <c r="M6" s="202">
        <v>0</v>
      </c>
      <c r="N6" s="201">
        <f t="shared" ref="N6:N32" si="0">SUM(B6:M6)</f>
        <v>220</v>
      </c>
      <c r="O6" s="203">
        <f>(250-(250-N6))/250*100</f>
        <v>88</v>
      </c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</row>
    <row r="7" spans="1:26" ht="18.75" x14ac:dyDescent="0.25">
      <c r="A7" s="205" t="s">
        <v>113</v>
      </c>
      <c r="B7" s="202">
        <f>'[1]Уровень исп. ГЗ'!M45</f>
        <v>100</v>
      </c>
      <c r="C7" s="201">
        <v>10</v>
      </c>
      <c r="D7" s="202"/>
      <c r="E7" s="202">
        <v>10</v>
      </c>
      <c r="F7" s="202"/>
      <c r="G7" s="202">
        <v>0</v>
      </c>
      <c r="H7" s="202"/>
      <c r="I7" s="202">
        <f>'[1]Уровень сред ЗП'!I7</f>
        <v>85</v>
      </c>
      <c r="J7" s="202"/>
      <c r="K7" s="202"/>
      <c r="L7" s="202"/>
      <c r="M7" s="202">
        <v>0</v>
      </c>
      <c r="N7" s="202">
        <f t="shared" si="0"/>
        <v>205</v>
      </c>
      <c r="O7" s="203">
        <f t="shared" ref="O7:O45" si="1">(250-(250-N7))/250*100</f>
        <v>82</v>
      </c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</row>
    <row r="8" spans="1:26" ht="18.75" x14ac:dyDescent="0.25">
      <c r="A8" s="205" t="s">
        <v>114</v>
      </c>
      <c r="B8" s="202">
        <f>'[1]Уровень исп. ГЗ'!M46</f>
        <v>100</v>
      </c>
      <c r="C8" s="201">
        <v>10</v>
      </c>
      <c r="D8" s="202"/>
      <c r="E8" s="202">
        <v>10</v>
      </c>
      <c r="F8" s="202"/>
      <c r="G8" s="202">
        <v>0</v>
      </c>
      <c r="H8" s="202"/>
      <c r="I8" s="202">
        <f>'[1]Уровень сред ЗП'!I8</f>
        <v>100</v>
      </c>
      <c r="J8" s="202"/>
      <c r="K8" s="202"/>
      <c r="L8" s="202"/>
      <c r="M8" s="202"/>
      <c r="N8" s="202">
        <f t="shared" si="0"/>
        <v>220</v>
      </c>
      <c r="O8" s="203">
        <f>(250-(250-N8))/250*100</f>
        <v>88</v>
      </c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</row>
    <row r="9" spans="1:26" ht="18.75" x14ac:dyDescent="0.25">
      <c r="A9" s="207" t="s">
        <v>115</v>
      </c>
      <c r="B9" s="202">
        <f>'[1]Уровень исп. ГЗ'!M47</f>
        <v>85</v>
      </c>
      <c r="C9" s="201">
        <v>10</v>
      </c>
      <c r="D9" s="202"/>
      <c r="E9" s="202">
        <v>10</v>
      </c>
      <c r="F9" s="202"/>
      <c r="G9" s="202">
        <v>0</v>
      </c>
      <c r="H9" s="202"/>
      <c r="I9" s="202">
        <f>'[1]Уровень сред ЗП'!I9</f>
        <v>100</v>
      </c>
      <c r="J9" s="202"/>
      <c r="K9" s="202"/>
      <c r="L9" s="202"/>
      <c r="M9" s="202">
        <v>0</v>
      </c>
      <c r="N9" s="202">
        <f t="shared" si="0"/>
        <v>205</v>
      </c>
      <c r="O9" s="203">
        <f>(250-(250-N9))/250*100</f>
        <v>82</v>
      </c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</row>
    <row r="10" spans="1:26" ht="18.75" x14ac:dyDescent="0.25">
      <c r="A10" s="207" t="s">
        <v>116</v>
      </c>
      <c r="B10" s="202">
        <f>'[1]Уровень исп. ГЗ'!M48</f>
        <v>0</v>
      </c>
      <c r="C10" s="201">
        <v>10</v>
      </c>
      <c r="D10" s="202"/>
      <c r="E10" s="202"/>
      <c r="F10" s="202">
        <v>-10</v>
      </c>
      <c r="G10" s="202">
        <v>0</v>
      </c>
      <c r="H10" s="202"/>
      <c r="I10" s="202">
        <f>'[1]Уровень сред ЗП'!I10</f>
        <v>100</v>
      </c>
      <c r="J10" s="202"/>
      <c r="K10" s="202"/>
      <c r="L10" s="202"/>
      <c r="M10" s="202"/>
      <c r="N10" s="202">
        <f t="shared" si="0"/>
        <v>100</v>
      </c>
      <c r="O10" s="208">
        <f t="shared" si="1"/>
        <v>40</v>
      </c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</row>
    <row r="11" spans="1:26" ht="18.75" x14ac:dyDescent="0.25">
      <c r="A11" s="207" t="s">
        <v>117</v>
      </c>
      <c r="B11" s="202">
        <f>'[1]Уровень исп. ГЗ'!M49</f>
        <v>85</v>
      </c>
      <c r="C11" s="201">
        <v>10</v>
      </c>
      <c r="D11" s="202"/>
      <c r="E11" s="202">
        <v>10</v>
      </c>
      <c r="F11" s="202"/>
      <c r="G11" s="202">
        <v>0</v>
      </c>
      <c r="H11" s="202"/>
      <c r="I11" s="202">
        <f>'[1]Уровень сред ЗП'!I11</f>
        <v>100</v>
      </c>
      <c r="J11" s="202"/>
      <c r="K11" s="202"/>
      <c r="L11" s="202"/>
      <c r="M11" s="202"/>
      <c r="N11" s="202">
        <f t="shared" si="0"/>
        <v>205</v>
      </c>
      <c r="O11" s="203">
        <f t="shared" si="1"/>
        <v>82</v>
      </c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</row>
    <row r="12" spans="1:26" ht="18.75" x14ac:dyDescent="0.25">
      <c r="A12" s="209" t="s">
        <v>118</v>
      </c>
      <c r="B12" s="202">
        <f>'[1]Уровень исп. ГЗ'!Q55</f>
        <v>100</v>
      </c>
      <c r="C12" s="201">
        <v>10</v>
      </c>
      <c r="D12" s="202"/>
      <c r="E12" s="202">
        <v>10</v>
      </c>
      <c r="F12" s="202"/>
      <c r="G12" s="202">
        <v>0</v>
      </c>
      <c r="H12" s="202"/>
      <c r="I12" s="202">
        <v>85</v>
      </c>
      <c r="J12" s="202"/>
      <c r="K12" s="202"/>
      <c r="L12" s="202"/>
      <c r="M12" s="202">
        <v>0</v>
      </c>
      <c r="N12" s="202">
        <f t="shared" si="0"/>
        <v>205</v>
      </c>
      <c r="O12" s="203">
        <f t="shared" si="1"/>
        <v>82</v>
      </c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</row>
    <row r="13" spans="1:26" ht="18.75" x14ac:dyDescent="0.25">
      <c r="A13" s="205" t="s">
        <v>119</v>
      </c>
      <c r="B13" s="202">
        <f>'[1]Уровень исп. ГЗ'!Q56</f>
        <v>100</v>
      </c>
      <c r="C13" s="201">
        <v>10</v>
      </c>
      <c r="D13" s="202"/>
      <c r="E13" s="202">
        <v>10</v>
      </c>
      <c r="F13" s="202"/>
      <c r="G13" s="202">
        <v>0</v>
      </c>
      <c r="H13" s="202"/>
      <c r="I13" s="202">
        <f>'[1]Уровень сред ЗП'!I13</f>
        <v>100</v>
      </c>
      <c r="J13" s="202"/>
      <c r="K13" s="202"/>
      <c r="L13" s="202"/>
      <c r="M13" s="202"/>
      <c r="N13" s="202">
        <f t="shared" si="0"/>
        <v>220</v>
      </c>
      <c r="O13" s="203">
        <f t="shared" si="1"/>
        <v>88</v>
      </c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</row>
    <row r="14" spans="1:26" ht="18.75" x14ac:dyDescent="0.25">
      <c r="A14" s="209" t="s">
        <v>120</v>
      </c>
      <c r="B14" s="202">
        <f>'[1]Уровень исп. ГЗ'!Q57</f>
        <v>100</v>
      </c>
      <c r="C14" s="201">
        <v>10</v>
      </c>
      <c r="D14" s="202"/>
      <c r="E14" s="202"/>
      <c r="F14" s="202">
        <v>-10</v>
      </c>
      <c r="G14" s="202">
        <v>0</v>
      </c>
      <c r="H14" s="202"/>
      <c r="I14" s="202">
        <f>'[1]Уровень сред ЗП'!I14</f>
        <v>100</v>
      </c>
      <c r="J14" s="202"/>
      <c r="K14" s="202"/>
      <c r="L14" s="202"/>
      <c r="M14" s="202"/>
      <c r="N14" s="202">
        <f t="shared" si="0"/>
        <v>200</v>
      </c>
      <c r="O14" s="203">
        <f t="shared" si="1"/>
        <v>80</v>
      </c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</row>
    <row r="15" spans="1:26" ht="18.75" x14ac:dyDescent="0.25">
      <c r="A15" s="210" t="s">
        <v>121</v>
      </c>
      <c r="B15" s="202">
        <f>'[1]Уровень исп. ГЗ'!U6</f>
        <v>85</v>
      </c>
      <c r="C15" s="201">
        <v>10</v>
      </c>
      <c r="D15" s="202"/>
      <c r="E15" s="202">
        <v>10</v>
      </c>
      <c r="F15" s="202"/>
      <c r="G15" s="202">
        <v>0</v>
      </c>
      <c r="H15" s="202"/>
      <c r="I15" s="202">
        <f>'[1]Уровень сред ЗП'!I15</f>
        <v>100</v>
      </c>
      <c r="J15" s="202"/>
      <c r="K15" s="202"/>
      <c r="L15" s="202"/>
      <c r="M15" s="202"/>
      <c r="N15" s="202">
        <f t="shared" si="0"/>
        <v>205</v>
      </c>
      <c r="O15" s="203">
        <f t="shared" si="1"/>
        <v>82</v>
      </c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</row>
    <row r="16" spans="1:26" ht="18.75" x14ac:dyDescent="0.25">
      <c r="A16" s="210" t="s">
        <v>122</v>
      </c>
      <c r="B16" s="202">
        <f>'[1]Уровень исп. ГЗ'!U7</f>
        <v>85</v>
      </c>
      <c r="C16" s="201">
        <v>10</v>
      </c>
      <c r="D16" s="202"/>
      <c r="E16" s="202">
        <v>10</v>
      </c>
      <c r="F16" s="202"/>
      <c r="G16" s="202">
        <v>0</v>
      </c>
      <c r="H16" s="202"/>
      <c r="I16" s="202">
        <f>'[1]Уровень сред ЗП'!I16</f>
        <v>100</v>
      </c>
      <c r="J16" s="202"/>
      <c r="K16" s="202"/>
      <c r="L16" s="202"/>
      <c r="M16" s="202">
        <v>0</v>
      </c>
      <c r="N16" s="202">
        <f t="shared" si="0"/>
        <v>205</v>
      </c>
      <c r="O16" s="203">
        <f t="shared" si="1"/>
        <v>82</v>
      </c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</row>
    <row r="17" spans="1:26" ht="18.75" x14ac:dyDescent="0.25">
      <c r="A17" s="210" t="s">
        <v>123</v>
      </c>
      <c r="B17" s="202">
        <f>'[1]Уровень исп. ГЗ'!U8</f>
        <v>85</v>
      </c>
      <c r="C17" s="201">
        <v>10</v>
      </c>
      <c r="D17" s="202"/>
      <c r="E17" s="202"/>
      <c r="F17" s="202"/>
      <c r="G17" s="202">
        <v>0</v>
      </c>
      <c r="H17" s="202"/>
      <c r="I17" s="202">
        <f>'[1]Уровень сред ЗП'!I17</f>
        <v>100</v>
      </c>
      <c r="J17" s="202"/>
      <c r="K17" s="202"/>
      <c r="L17" s="202"/>
      <c r="M17" s="202"/>
      <c r="N17" s="202">
        <f t="shared" si="0"/>
        <v>195</v>
      </c>
      <c r="O17" s="203">
        <f t="shared" si="1"/>
        <v>78</v>
      </c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</row>
    <row r="18" spans="1:26" ht="18.75" x14ac:dyDescent="0.25">
      <c r="A18" s="211" t="s">
        <v>124</v>
      </c>
      <c r="B18" s="202">
        <f>'[1]Уровень исп. ГЗ'!U9</f>
        <v>85</v>
      </c>
      <c r="C18" s="201">
        <v>10</v>
      </c>
      <c r="D18" s="202"/>
      <c r="E18" s="202">
        <v>10</v>
      </c>
      <c r="F18" s="202"/>
      <c r="G18" s="202">
        <v>0</v>
      </c>
      <c r="H18" s="202"/>
      <c r="I18" s="202">
        <f>'[1]Уровень сред ЗП'!I18</f>
        <v>100</v>
      </c>
      <c r="J18" s="202"/>
      <c r="K18" s="202"/>
      <c r="L18" s="202"/>
      <c r="M18" s="202">
        <v>0</v>
      </c>
      <c r="N18" s="202">
        <f t="shared" si="0"/>
        <v>205</v>
      </c>
      <c r="O18" s="203">
        <f t="shared" si="1"/>
        <v>82</v>
      </c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</row>
    <row r="19" spans="1:26" ht="18.75" x14ac:dyDescent="0.25">
      <c r="A19" s="210" t="s">
        <v>125</v>
      </c>
      <c r="B19" s="202">
        <f>'[1]Уровень исп. ГЗ'!U10</f>
        <v>100</v>
      </c>
      <c r="C19" s="201">
        <v>10</v>
      </c>
      <c r="D19" s="202"/>
      <c r="E19" s="202">
        <v>10</v>
      </c>
      <c r="F19" s="202"/>
      <c r="G19" s="202">
        <v>0</v>
      </c>
      <c r="H19" s="202"/>
      <c r="I19" s="202">
        <f>'[1]Уровень сред ЗП'!I19</f>
        <v>100</v>
      </c>
      <c r="J19" s="202"/>
      <c r="K19" s="202"/>
      <c r="L19" s="202"/>
      <c r="M19" s="202"/>
      <c r="N19" s="202">
        <f t="shared" si="0"/>
        <v>220</v>
      </c>
      <c r="O19" s="203">
        <f t="shared" si="1"/>
        <v>88</v>
      </c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</row>
    <row r="20" spans="1:26" ht="20.25" customHeight="1" x14ac:dyDescent="0.25">
      <c r="A20" s="210" t="s">
        <v>23</v>
      </c>
      <c r="B20" s="202">
        <f>'[1]Уровень исп. ГЗ'!U11</f>
        <v>100</v>
      </c>
      <c r="C20" s="201">
        <v>10</v>
      </c>
      <c r="D20" s="202"/>
      <c r="E20" s="202"/>
      <c r="F20" s="202">
        <v>-10</v>
      </c>
      <c r="G20" s="202">
        <v>0</v>
      </c>
      <c r="H20" s="202"/>
      <c r="I20" s="202">
        <f>'[1]Уровень сред ЗП'!I20</f>
        <v>100</v>
      </c>
      <c r="J20" s="202"/>
      <c r="K20" s="202">
        <v>-30</v>
      </c>
      <c r="L20" s="202"/>
      <c r="M20" s="202">
        <v>-30</v>
      </c>
      <c r="N20" s="202">
        <f t="shared" si="0"/>
        <v>140</v>
      </c>
      <c r="O20" s="212">
        <f t="shared" si="1"/>
        <v>56.000000000000007</v>
      </c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</row>
    <row r="21" spans="1:26" ht="18.75" x14ac:dyDescent="0.25">
      <c r="A21" s="210" t="s">
        <v>24</v>
      </c>
      <c r="B21" s="202">
        <f>'[1]Уровень исп. ГЗ'!U12</f>
        <v>85</v>
      </c>
      <c r="C21" s="201">
        <v>10</v>
      </c>
      <c r="D21" s="202"/>
      <c r="E21" s="202">
        <v>10</v>
      </c>
      <c r="F21" s="202"/>
      <c r="G21" s="202">
        <v>0</v>
      </c>
      <c r="H21" s="202"/>
      <c r="I21" s="202">
        <f>'[1]Уровень сред ЗП'!I21</f>
        <v>100</v>
      </c>
      <c r="J21" s="202"/>
      <c r="K21" s="202"/>
      <c r="L21" s="202"/>
      <c r="M21" s="202">
        <v>0</v>
      </c>
      <c r="N21" s="202">
        <f t="shared" si="0"/>
        <v>205</v>
      </c>
      <c r="O21" s="203">
        <f t="shared" si="1"/>
        <v>82</v>
      </c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</row>
    <row r="22" spans="1:26" ht="18.75" x14ac:dyDescent="0.25">
      <c r="A22" s="210" t="s">
        <v>126</v>
      </c>
      <c r="B22" s="202">
        <f>'[1]Уровень исп. ГЗ'!U13</f>
        <v>100</v>
      </c>
      <c r="C22" s="201">
        <v>10</v>
      </c>
      <c r="D22" s="202"/>
      <c r="E22" s="202">
        <v>10</v>
      </c>
      <c r="F22" s="202"/>
      <c r="G22" s="202">
        <v>0</v>
      </c>
      <c r="H22" s="202"/>
      <c r="I22" s="202">
        <f>'[1]Уровень сред ЗП'!I22</f>
        <v>100</v>
      </c>
      <c r="J22" s="202"/>
      <c r="K22" s="202"/>
      <c r="L22" s="202"/>
      <c r="M22" s="202"/>
      <c r="N22" s="202">
        <f t="shared" si="0"/>
        <v>220</v>
      </c>
      <c r="O22" s="203">
        <f t="shared" si="1"/>
        <v>88</v>
      </c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 ht="18.75" x14ac:dyDescent="0.25">
      <c r="A23" s="210" t="s">
        <v>26</v>
      </c>
      <c r="B23" s="202">
        <f>'[1]Уровень исп. ГЗ'!U14</f>
        <v>85</v>
      </c>
      <c r="C23" s="201">
        <v>10</v>
      </c>
      <c r="D23" s="202"/>
      <c r="E23" s="202"/>
      <c r="F23" s="202"/>
      <c r="G23" s="202">
        <v>0</v>
      </c>
      <c r="H23" s="202"/>
      <c r="I23" s="202">
        <f>'[1]Уровень сред ЗП'!I23</f>
        <v>85</v>
      </c>
      <c r="J23" s="202"/>
      <c r="K23" s="202"/>
      <c r="L23" s="202"/>
      <c r="M23" s="202"/>
      <c r="N23" s="202">
        <f t="shared" si="0"/>
        <v>180</v>
      </c>
      <c r="O23" s="203">
        <f t="shared" si="1"/>
        <v>72</v>
      </c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</row>
    <row r="24" spans="1:26" ht="18.75" x14ac:dyDescent="0.25">
      <c r="A24" s="210" t="s">
        <v>27</v>
      </c>
      <c r="B24" s="202">
        <f>'[1]Уровень исп. ГЗ'!U15</f>
        <v>85</v>
      </c>
      <c r="C24" s="201">
        <v>10</v>
      </c>
      <c r="D24" s="202"/>
      <c r="E24" s="202">
        <v>10</v>
      </c>
      <c r="F24" s="202"/>
      <c r="G24" s="202">
        <v>0</v>
      </c>
      <c r="H24" s="202"/>
      <c r="I24" s="202">
        <f>'[1]Уровень сред ЗП'!I24</f>
        <v>100</v>
      </c>
      <c r="J24" s="202"/>
      <c r="K24" s="202"/>
      <c r="L24" s="202"/>
      <c r="M24" s="202">
        <v>0</v>
      </c>
      <c r="N24" s="202">
        <f t="shared" si="0"/>
        <v>205</v>
      </c>
      <c r="O24" s="203">
        <f t="shared" si="1"/>
        <v>82</v>
      </c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</row>
    <row r="25" spans="1:26" ht="18.75" x14ac:dyDescent="0.25">
      <c r="A25" s="210" t="s">
        <v>28</v>
      </c>
      <c r="B25" s="202">
        <f>'[1]Уровень исп. ГЗ'!U16</f>
        <v>85</v>
      </c>
      <c r="C25" s="201">
        <v>10</v>
      </c>
      <c r="D25" s="202"/>
      <c r="E25" s="202">
        <v>10</v>
      </c>
      <c r="F25" s="202"/>
      <c r="G25" s="202">
        <v>0</v>
      </c>
      <c r="H25" s="202"/>
      <c r="I25" s="202">
        <f>'[1]Уровень сред ЗП'!I25</f>
        <v>100</v>
      </c>
      <c r="J25" s="202"/>
      <c r="K25" s="202"/>
      <c r="L25" s="202"/>
      <c r="M25" s="202">
        <v>0</v>
      </c>
      <c r="N25" s="202">
        <f t="shared" si="0"/>
        <v>205</v>
      </c>
      <c r="O25" s="203">
        <f t="shared" si="1"/>
        <v>82</v>
      </c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</row>
    <row r="26" spans="1:26" ht="18.75" x14ac:dyDescent="0.25">
      <c r="A26" s="210" t="s">
        <v>29</v>
      </c>
      <c r="B26" s="202">
        <f>'[1]Уровень исп. ГЗ'!U17</f>
        <v>85</v>
      </c>
      <c r="C26" s="201">
        <v>10</v>
      </c>
      <c r="D26" s="202"/>
      <c r="E26" s="202">
        <v>10</v>
      </c>
      <c r="F26" s="202"/>
      <c r="G26" s="202">
        <v>0</v>
      </c>
      <c r="H26" s="202"/>
      <c r="I26" s="202">
        <f>'[1]Уровень сред ЗП'!I26</f>
        <v>100</v>
      </c>
      <c r="J26" s="202"/>
      <c r="K26" s="202"/>
      <c r="L26" s="202"/>
      <c r="M26" s="202"/>
      <c r="N26" s="202">
        <f t="shared" si="0"/>
        <v>205</v>
      </c>
      <c r="O26" s="203">
        <f t="shared" si="1"/>
        <v>82</v>
      </c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</row>
    <row r="27" spans="1:26" ht="18.75" x14ac:dyDescent="0.25">
      <c r="A27" s="210" t="s">
        <v>31</v>
      </c>
      <c r="B27" s="202">
        <f>'[1]Уровень исп. ГЗ'!U22</f>
        <v>85</v>
      </c>
      <c r="C27" s="201">
        <v>10</v>
      </c>
      <c r="D27" s="202"/>
      <c r="E27" s="202">
        <v>10</v>
      </c>
      <c r="F27" s="202"/>
      <c r="G27" s="202">
        <v>0</v>
      </c>
      <c r="H27" s="202"/>
      <c r="I27" s="202">
        <f>'[1]Уровень сред ЗП'!I27</f>
        <v>85</v>
      </c>
      <c r="J27" s="202"/>
      <c r="K27" s="202"/>
      <c r="L27" s="202"/>
      <c r="M27" s="202">
        <v>0</v>
      </c>
      <c r="N27" s="202">
        <f t="shared" si="0"/>
        <v>190</v>
      </c>
      <c r="O27" s="203">
        <f t="shared" si="1"/>
        <v>76</v>
      </c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</row>
    <row r="28" spans="1:26" ht="18.75" x14ac:dyDescent="0.25">
      <c r="A28" s="210" t="s">
        <v>127</v>
      </c>
      <c r="B28" s="202">
        <f>'[1]Уровень исп. ГЗ'!U23</f>
        <v>85</v>
      </c>
      <c r="C28" s="201">
        <v>10</v>
      </c>
      <c r="D28" s="202"/>
      <c r="E28" s="202">
        <v>10</v>
      </c>
      <c r="F28" s="202"/>
      <c r="G28" s="202">
        <v>0</v>
      </c>
      <c r="H28" s="202"/>
      <c r="I28" s="202">
        <f>'[1]Уровень сред ЗП'!I28</f>
        <v>100</v>
      </c>
      <c r="J28" s="202"/>
      <c r="K28" s="202"/>
      <c r="L28" s="202"/>
      <c r="M28" s="202"/>
      <c r="N28" s="202">
        <f t="shared" si="0"/>
        <v>205</v>
      </c>
      <c r="O28" s="203">
        <f t="shared" si="1"/>
        <v>82</v>
      </c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</row>
    <row r="29" spans="1:26" ht="18.75" x14ac:dyDescent="0.25">
      <c r="A29" s="210" t="s">
        <v>128</v>
      </c>
      <c r="B29" s="202">
        <f>'[1]Уровень исп. ГЗ'!U24</f>
        <v>85</v>
      </c>
      <c r="C29" s="201">
        <v>10</v>
      </c>
      <c r="D29" s="202"/>
      <c r="E29" s="202">
        <v>10</v>
      </c>
      <c r="F29" s="202"/>
      <c r="G29" s="202">
        <v>0</v>
      </c>
      <c r="H29" s="202"/>
      <c r="I29" s="202">
        <f>'[1]Уровень сред ЗП'!I29</f>
        <v>100</v>
      </c>
      <c r="J29" s="202"/>
      <c r="K29" s="202"/>
      <c r="L29" s="202"/>
      <c r="M29" s="202">
        <v>0</v>
      </c>
      <c r="N29" s="202">
        <f t="shared" si="0"/>
        <v>205</v>
      </c>
      <c r="O29" s="203">
        <f t="shared" si="1"/>
        <v>82</v>
      </c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</row>
    <row r="30" spans="1:26" ht="18.75" x14ac:dyDescent="0.25">
      <c r="A30" s="213" t="s">
        <v>34</v>
      </c>
      <c r="B30" s="202">
        <f>'[1]Уровень исп. ГЗ'!U25</f>
        <v>100</v>
      </c>
      <c r="C30" s="201">
        <v>10</v>
      </c>
      <c r="D30" s="202"/>
      <c r="E30" s="202">
        <v>10</v>
      </c>
      <c r="F30" s="202"/>
      <c r="G30" s="202">
        <v>0</v>
      </c>
      <c r="H30" s="202"/>
      <c r="I30" s="202">
        <f>'[1]Уровень сред ЗП'!I30</f>
        <v>100</v>
      </c>
      <c r="J30" s="202"/>
      <c r="K30" s="202"/>
      <c r="L30" s="202"/>
      <c r="M30" s="202">
        <v>0</v>
      </c>
      <c r="N30" s="202">
        <f t="shared" si="0"/>
        <v>220</v>
      </c>
      <c r="O30" s="203">
        <f t="shared" si="1"/>
        <v>88</v>
      </c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</row>
    <row r="31" spans="1:26" s="192" customFormat="1" ht="18.75" x14ac:dyDescent="0.25">
      <c r="A31" s="210" t="s">
        <v>129</v>
      </c>
      <c r="B31" s="202">
        <f>'[1]Уровень исп. ГЗ'!U26</f>
        <v>85</v>
      </c>
      <c r="C31" s="202">
        <v>10</v>
      </c>
      <c r="D31" s="202"/>
      <c r="E31" s="202">
        <v>10</v>
      </c>
      <c r="F31" s="202"/>
      <c r="G31" s="202">
        <v>0</v>
      </c>
      <c r="H31" s="202"/>
      <c r="I31" s="202">
        <f>'[1]Уровень сред ЗП'!I31</f>
        <v>85</v>
      </c>
      <c r="J31" s="202"/>
      <c r="K31" s="202"/>
      <c r="L31" s="202"/>
      <c r="M31" s="202">
        <v>0</v>
      </c>
      <c r="N31" s="202">
        <f t="shared" si="0"/>
        <v>190</v>
      </c>
      <c r="O31" s="214">
        <f t="shared" si="1"/>
        <v>76</v>
      </c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</row>
    <row r="32" spans="1:26" ht="18.75" x14ac:dyDescent="0.25">
      <c r="A32" s="210" t="s">
        <v>130</v>
      </c>
      <c r="B32" s="202">
        <f>'[1]Уровень исп. ГЗ'!U27</f>
        <v>100</v>
      </c>
      <c r="C32" s="201">
        <v>10</v>
      </c>
      <c r="D32" s="202"/>
      <c r="E32" s="202">
        <v>10</v>
      </c>
      <c r="F32" s="202"/>
      <c r="G32" s="202">
        <v>0</v>
      </c>
      <c r="H32" s="202"/>
      <c r="I32" s="202">
        <f>'[1]Уровень сред ЗП'!I32</f>
        <v>100</v>
      </c>
      <c r="J32" s="202"/>
      <c r="K32" s="202"/>
      <c r="L32" s="202"/>
      <c r="M32" s="202">
        <v>0</v>
      </c>
      <c r="N32" s="202">
        <f t="shared" si="0"/>
        <v>220</v>
      </c>
      <c r="O32" s="203">
        <f t="shared" si="1"/>
        <v>88</v>
      </c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</row>
    <row r="33" spans="1:26" ht="18.75" x14ac:dyDescent="0.25">
      <c r="A33" s="210" t="s">
        <v>131</v>
      </c>
      <c r="B33" s="202">
        <f>'[1]Уровень исп. ГЗ'!U28</f>
        <v>100</v>
      </c>
      <c r="C33" s="201">
        <v>10</v>
      </c>
      <c r="D33" s="202"/>
      <c r="E33" s="202">
        <v>10</v>
      </c>
      <c r="F33" s="202"/>
      <c r="G33" s="202">
        <v>0</v>
      </c>
      <c r="H33" s="202"/>
      <c r="I33" s="202">
        <f>'[1]Уровень сред ЗП'!I33</f>
        <v>100</v>
      </c>
      <c r="J33" s="202"/>
      <c r="K33" s="202"/>
      <c r="L33" s="202"/>
      <c r="M33" s="202">
        <v>0</v>
      </c>
      <c r="N33" s="202">
        <f>SUM(B33:M33)</f>
        <v>220</v>
      </c>
      <c r="O33" s="203">
        <f t="shared" si="1"/>
        <v>88</v>
      </c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</row>
    <row r="34" spans="1:26" ht="18.75" x14ac:dyDescent="0.25">
      <c r="A34" s="210" t="s">
        <v>132</v>
      </c>
      <c r="B34" s="202">
        <f>'[1]Уровень исп. ГЗ'!U29</f>
        <v>0</v>
      </c>
      <c r="C34" s="201">
        <v>10</v>
      </c>
      <c r="D34" s="202"/>
      <c r="E34" s="202">
        <v>10</v>
      </c>
      <c r="F34" s="202"/>
      <c r="G34" s="202">
        <v>0</v>
      </c>
      <c r="H34" s="202"/>
      <c r="I34" s="202">
        <f>'[1]Уровень сред ЗП'!I34</f>
        <v>85</v>
      </c>
      <c r="J34" s="202"/>
      <c r="K34" s="202">
        <v>-30</v>
      </c>
      <c r="L34" s="202"/>
      <c r="M34" s="202"/>
      <c r="N34" s="202">
        <f>SUM(B34:M34)</f>
        <v>75</v>
      </c>
      <c r="O34" s="201">
        <f t="shared" si="1"/>
        <v>30</v>
      </c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206"/>
    </row>
    <row r="35" spans="1:26" ht="18.75" x14ac:dyDescent="0.25">
      <c r="A35" s="210" t="s">
        <v>133</v>
      </c>
      <c r="B35" s="202">
        <f>'[1]Уровень исп. ГЗ'!U30</f>
        <v>85</v>
      </c>
      <c r="C35" s="201">
        <v>10</v>
      </c>
      <c r="D35" s="202"/>
      <c r="E35" s="202">
        <v>10</v>
      </c>
      <c r="F35" s="202"/>
      <c r="G35" s="202">
        <v>0</v>
      </c>
      <c r="H35" s="202"/>
      <c r="I35" s="202">
        <f>'[1]Уровень сред ЗП'!I35</f>
        <v>100</v>
      </c>
      <c r="J35" s="202"/>
      <c r="K35" s="202"/>
      <c r="L35" s="202"/>
      <c r="M35" s="202"/>
      <c r="N35" s="202">
        <f>SUM(B35:M35)</f>
        <v>205</v>
      </c>
      <c r="O35" s="203">
        <f t="shared" si="1"/>
        <v>82</v>
      </c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</row>
    <row r="36" spans="1:26" ht="18.75" x14ac:dyDescent="0.25">
      <c r="A36" s="210" t="s">
        <v>134</v>
      </c>
      <c r="B36" s="202">
        <f>'[1]Уровень исп. ГЗ'!U31</f>
        <v>0</v>
      </c>
      <c r="C36" s="201">
        <v>10</v>
      </c>
      <c r="D36" s="202"/>
      <c r="E36" s="202">
        <v>10</v>
      </c>
      <c r="F36" s="202"/>
      <c r="G36" s="202">
        <v>0</v>
      </c>
      <c r="H36" s="202"/>
      <c r="I36" s="202">
        <f>'[1]Уровень сред ЗП'!I36</f>
        <v>85</v>
      </c>
      <c r="J36" s="202"/>
      <c r="K36" s="202"/>
      <c r="L36" s="202"/>
      <c r="M36" s="202">
        <v>0</v>
      </c>
      <c r="N36" s="202">
        <f>SUM(B36:M36)</f>
        <v>105</v>
      </c>
      <c r="O36" s="201">
        <f t="shared" si="1"/>
        <v>42</v>
      </c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</row>
    <row r="37" spans="1:26" s="192" customFormat="1" ht="18.75" x14ac:dyDescent="0.25">
      <c r="A37" s="210" t="s">
        <v>41</v>
      </c>
      <c r="B37" s="202">
        <f>'[1]Уровень исп. ГЗ'!U32</f>
        <v>85</v>
      </c>
      <c r="C37" s="202">
        <v>10</v>
      </c>
      <c r="D37" s="202"/>
      <c r="E37" s="202">
        <v>10</v>
      </c>
      <c r="F37" s="202"/>
      <c r="G37" s="202">
        <v>0</v>
      </c>
      <c r="H37" s="202"/>
      <c r="I37" s="202">
        <f>'[1]Уровень сред ЗП'!I37</f>
        <v>100</v>
      </c>
      <c r="J37" s="202"/>
      <c r="K37" s="202"/>
      <c r="L37" s="202"/>
      <c r="M37" s="202"/>
      <c r="N37" s="202">
        <f>SUM(B37:M37)</f>
        <v>205</v>
      </c>
      <c r="O37" s="214">
        <f t="shared" si="1"/>
        <v>82</v>
      </c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</row>
    <row r="38" spans="1:26" ht="18.75" x14ac:dyDescent="0.25">
      <c r="A38" s="215" t="s">
        <v>135</v>
      </c>
      <c r="B38" s="202">
        <f>'[1]Уровень исп. ГЗ'!Q63</f>
        <v>85</v>
      </c>
      <c r="C38" s="201">
        <v>10</v>
      </c>
      <c r="D38" s="202"/>
      <c r="E38" s="202">
        <v>10</v>
      </c>
      <c r="F38" s="202"/>
      <c r="G38" s="202">
        <v>0</v>
      </c>
      <c r="H38" s="202"/>
      <c r="I38" s="202">
        <f>'[1]Уровень сред ЗП'!I46</f>
        <v>100</v>
      </c>
      <c r="J38" s="202"/>
      <c r="K38" s="202"/>
      <c r="L38" s="202"/>
      <c r="M38" s="202"/>
      <c r="N38" s="202">
        <f t="shared" ref="N38:N45" si="2">SUM(B38:M38)</f>
        <v>205</v>
      </c>
      <c r="O38" s="203">
        <f t="shared" si="1"/>
        <v>82</v>
      </c>
      <c r="P38" s="206"/>
      <c r="Q38" s="206"/>
      <c r="R38" s="206"/>
      <c r="S38" s="206"/>
      <c r="T38" s="206"/>
      <c r="U38" s="206"/>
      <c r="V38" s="206"/>
      <c r="W38" s="206"/>
      <c r="X38" s="206"/>
      <c r="Y38" s="206"/>
      <c r="Z38" s="206"/>
    </row>
    <row r="39" spans="1:26" ht="18.75" x14ac:dyDescent="0.25">
      <c r="A39" s="209" t="s">
        <v>136</v>
      </c>
      <c r="B39" s="202">
        <f>'[1]Уровень исп. ГЗ'!Q64</f>
        <v>85</v>
      </c>
      <c r="C39" s="201">
        <v>10</v>
      </c>
      <c r="D39" s="202"/>
      <c r="E39" s="202">
        <v>10</v>
      </c>
      <c r="F39" s="202"/>
      <c r="G39" s="202">
        <v>0</v>
      </c>
      <c r="H39" s="202"/>
      <c r="I39" s="202">
        <f>'[1]Уровень сред ЗП'!I47</f>
        <v>100</v>
      </c>
      <c r="J39" s="202"/>
      <c r="K39" s="202"/>
      <c r="L39" s="202"/>
      <c r="M39" s="202"/>
      <c r="N39" s="202">
        <f t="shared" si="2"/>
        <v>205</v>
      </c>
      <c r="O39" s="203">
        <f t="shared" si="1"/>
        <v>82</v>
      </c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</row>
    <row r="40" spans="1:26" ht="18.75" x14ac:dyDescent="0.25">
      <c r="A40" s="209" t="s">
        <v>137</v>
      </c>
      <c r="B40" s="202">
        <f>'[1]Уровень исп. ГЗ'!Q65</f>
        <v>85</v>
      </c>
      <c r="C40" s="201">
        <v>10</v>
      </c>
      <c r="D40" s="202"/>
      <c r="E40" s="202">
        <v>10</v>
      </c>
      <c r="F40" s="202"/>
      <c r="G40" s="202">
        <v>0</v>
      </c>
      <c r="H40" s="202"/>
      <c r="I40" s="202">
        <f>'[1]Уровень сред ЗП'!I48</f>
        <v>100</v>
      </c>
      <c r="J40" s="202"/>
      <c r="K40" s="202"/>
      <c r="L40" s="202"/>
      <c r="M40" s="202">
        <v>0</v>
      </c>
      <c r="N40" s="202">
        <f t="shared" si="2"/>
        <v>205</v>
      </c>
      <c r="O40" s="203">
        <f t="shared" si="1"/>
        <v>82</v>
      </c>
      <c r="P40" s="206"/>
      <c r="Q40" s="206"/>
      <c r="R40" s="206"/>
      <c r="S40" s="206"/>
      <c r="T40" s="206"/>
      <c r="U40" s="206"/>
      <c r="V40" s="206"/>
      <c r="W40" s="206"/>
      <c r="X40" s="206"/>
      <c r="Y40" s="206"/>
      <c r="Z40" s="206"/>
    </row>
    <row r="41" spans="1:26" ht="18.75" x14ac:dyDescent="0.25">
      <c r="A41" s="209" t="s">
        <v>138</v>
      </c>
      <c r="B41" s="202">
        <f>'[1]Уровень исп. ГЗ'!Q66</f>
        <v>85</v>
      </c>
      <c r="C41" s="201">
        <v>10</v>
      </c>
      <c r="D41" s="202"/>
      <c r="E41" s="202">
        <v>10</v>
      </c>
      <c r="F41" s="202"/>
      <c r="G41" s="202">
        <v>0</v>
      </c>
      <c r="H41" s="202"/>
      <c r="I41" s="202">
        <f>'[1]Уровень сред ЗП'!I49</f>
        <v>100</v>
      </c>
      <c r="J41" s="202"/>
      <c r="K41" s="202"/>
      <c r="L41" s="202"/>
      <c r="M41" s="202"/>
      <c r="N41" s="202">
        <f t="shared" si="2"/>
        <v>205</v>
      </c>
      <c r="O41" s="203">
        <f t="shared" si="1"/>
        <v>82</v>
      </c>
      <c r="P41" s="206"/>
      <c r="Q41" s="206"/>
      <c r="R41" s="206"/>
      <c r="S41" s="206"/>
      <c r="T41" s="206"/>
      <c r="U41" s="206"/>
      <c r="V41" s="206"/>
      <c r="W41" s="206"/>
      <c r="X41" s="206"/>
      <c r="Y41" s="206"/>
      <c r="Z41" s="206"/>
    </row>
    <row r="42" spans="1:26" ht="18.75" x14ac:dyDescent="0.25">
      <c r="A42" s="216" t="s">
        <v>77</v>
      </c>
      <c r="B42" s="217">
        <f>'[1]Уровень исп. ГЗ'!Q79</f>
        <v>85</v>
      </c>
      <c r="C42" s="201">
        <v>10</v>
      </c>
      <c r="D42" s="202"/>
      <c r="E42" s="202">
        <v>10</v>
      </c>
      <c r="F42" s="202"/>
      <c r="G42" s="202">
        <v>0</v>
      </c>
      <c r="H42" s="202"/>
      <c r="I42" s="202">
        <f>'[1]Уровень сред ЗП'!I50</f>
        <v>100</v>
      </c>
      <c r="J42" s="202"/>
      <c r="K42" s="202"/>
      <c r="L42" s="202"/>
      <c r="M42" s="202"/>
      <c r="N42" s="202">
        <f t="shared" si="2"/>
        <v>205</v>
      </c>
      <c r="O42" s="203">
        <f t="shared" si="1"/>
        <v>82</v>
      </c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</row>
    <row r="43" spans="1:26" ht="18.75" x14ac:dyDescent="0.25">
      <c r="A43" s="218" t="s">
        <v>139</v>
      </c>
      <c r="B43" s="202">
        <f>'[1]Уровень исп. ГЗ'!Q72</f>
        <v>85</v>
      </c>
      <c r="C43" s="201">
        <v>10</v>
      </c>
      <c r="D43" s="202"/>
      <c r="E43" s="202">
        <v>10</v>
      </c>
      <c r="F43" s="202"/>
      <c r="G43" s="202">
        <v>0</v>
      </c>
      <c r="H43" s="202"/>
      <c r="I43" s="202">
        <f>'[1]Уровень сред ЗП'!I52</f>
        <v>-50</v>
      </c>
      <c r="J43" s="202"/>
      <c r="K43" s="202"/>
      <c r="L43" s="202"/>
      <c r="M43" s="202"/>
      <c r="N43" s="202">
        <f t="shared" si="2"/>
        <v>55</v>
      </c>
      <c r="O43" s="208">
        <f t="shared" si="1"/>
        <v>22</v>
      </c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206"/>
    </row>
    <row r="44" spans="1:26" ht="18.75" x14ac:dyDescent="0.25">
      <c r="A44" s="218" t="s">
        <v>140</v>
      </c>
      <c r="B44" s="202">
        <f>'[1]Уровень исп. ГЗ'!Q73</f>
        <v>85</v>
      </c>
      <c r="C44" s="201">
        <v>10</v>
      </c>
      <c r="D44" s="202"/>
      <c r="E44" s="202">
        <v>10</v>
      </c>
      <c r="F44" s="202"/>
      <c r="G44" s="202">
        <v>0</v>
      </c>
      <c r="H44" s="202"/>
      <c r="I44" s="202">
        <f>'[1]Уровень сред ЗП'!I53</f>
        <v>100</v>
      </c>
      <c r="J44" s="202"/>
      <c r="K44" s="202"/>
      <c r="L44" s="202"/>
      <c r="M44" s="202">
        <v>0</v>
      </c>
      <c r="N44" s="202">
        <f t="shared" si="2"/>
        <v>205</v>
      </c>
      <c r="O44" s="203">
        <f t="shared" si="1"/>
        <v>82</v>
      </c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</row>
    <row r="45" spans="1:26" ht="18.75" x14ac:dyDescent="0.25">
      <c r="A45" s="218" t="s">
        <v>141</v>
      </c>
      <c r="B45" s="202">
        <f>'[1]Уровень исп. ГЗ'!Q74</f>
        <v>85</v>
      </c>
      <c r="C45" s="201">
        <v>10</v>
      </c>
      <c r="D45" s="202"/>
      <c r="E45" s="202">
        <v>10</v>
      </c>
      <c r="F45" s="202"/>
      <c r="G45" s="202">
        <v>0</v>
      </c>
      <c r="H45" s="202"/>
      <c r="I45" s="202">
        <f>'[1]Уровень сред ЗП'!I54</f>
        <v>100</v>
      </c>
      <c r="J45" s="202"/>
      <c r="K45" s="202"/>
      <c r="L45" s="202"/>
      <c r="M45" s="202"/>
      <c r="N45" s="202">
        <f t="shared" si="2"/>
        <v>205</v>
      </c>
      <c r="O45" s="203">
        <f t="shared" si="1"/>
        <v>82</v>
      </c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</row>
    <row r="46" spans="1:26" ht="18.75" x14ac:dyDescent="0.25">
      <c r="A46" s="219"/>
      <c r="B46" s="220"/>
      <c r="C46" s="220"/>
      <c r="D46" s="220"/>
      <c r="E46" s="221"/>
      <c r="F46" s="221"/>
      <c r="G46" s="221"/>
      <c r="H46" s="221"/>
      <c r="I46" s="221"/>
      <c r="J46" s="221"/>
      <c r="K46" s="221"/>
      <c r="L46" s="221"/>
      <c r="M46" s="221"/>
      <c r="N46" s="220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</row>
    <row r="47" spans="1:26" ht="18.75" customHeight="1" x14ac:dyDescent="0.25">
      <c r="A47" s="223" t="s">
        <v>142</v>
      </c>
      <c r="B47" s="223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</row>
    <row r="48" spans="1:26" ht="18.75" x14ac:dyDescent="0.25">
      <c r="A48" s="224"/>
      <c r="B48" s="225"/>
      <c r="C48" s="225"/>
      <c r="D48" s="225"/>
      <c r="E48" s="226"/>
      <c r="F48" s="226"/>
      <c r="G48" s="226"/>
      <c r="H48" s="226"/>
      <c r="I48" s="226"/>
      <c r="J48" s="226"/>
      <c r="K48" s="226"/>
      <c r="L48" s="226"/>
      <c r="M48" s="226"/>
      <c r="N48" s="225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</row>
    <row r="49" spans="1:26" ht="18.75" x14ac:dyDescent="0.25">
      <c r="A49" s="224"/>
      <c r="B49" s="225"/>
      <c r="C49" s="225"/>
      <c r="D49" s="225"/>
      <c r="E49" s="226"/>
      <c r="F49" s="226"/>
      <c r="G49" s="226"/>
      <c r="H49" s="226"/>
      <c r="I49" s="226"/>
      <c r="J49" s="226"/>
      <c r="K49" s="226"/>
      <c r="L49" s="226"/>
      <c r="M49" s="226"/>
      <c r="N49" s="225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</row>
    <row r="50" spans="1:26" ht="18.75" x14ac:dyDescent="0.25">
      <c r="A50" s="224"/>
      <c r="B50" s="225"/>
      <c r="C50" s="225"/>
      <c r="D50" s="225"/>
      <c r="E50" s="226"/>
      <c r="F50" s="226"/>
      <c r="G50" s="226"/>
      <c r="H50" s="226"/>
      <c r="I50" s="226"/>
      <c r="J50" s="226"/>
      <c r="K50" s="226"/>
      <c r="L50" s="226"/>
      <c r="M50" s="226"/>
      <c r="N50" s="225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</row>
    <row r="51" spans="1:26" ht="18.75" customHeight="1" x14ac:dyDescent="0.25">
      <c r="A51" s="223" t="s">
        <v>143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3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</row>
    <row r="54" spans="1:26" ht="37.5" x14ac:dyDescent="0.25">
      <c r="A54" s="227" t="s">
        <v>144</v>
      </c>
    </row>
    <row r="55" spans="1:26" ht="18.75" x14ac:dyDescent="0.25">
      <c r="A55" s="227"/>
    </row>
    <row r="56" spans="1:26" ht="93.75" x14ac:dyDescent="0.25">
      <c r="A56" s="227" t="s">
        <v>145</v>
      </c>
    </row>
    <row r="57" spans="1:26" ht="56.25" x14ac:dyDescent="0.25">
      <c r="A57" s="227" t="s">
        <v>146</v>
      </c>
    </row>
    <row r="58" spans="1:26" ht="18.75" x14ac:dyDescent="0.25">
      <c r="A58" s="227"/>
    </row>
    <row r="59" spans="1:26" x14ac:dyDescent="0.25">
      <c r="A59" s="228" t="s">
        <v>147</v>
      </c>
    </row>
  </sheetData>
  <mergeCells count="14">
    <mergeCell ref="J3:K3"/>
    <mergeCell ref="L3:M3"/>
    <mergeCell ref="A47:O47"/>
    <mergeCell ref="A51:O51"/>
    <mergeCell ref="A1:O1"/>
    <mergeCell ref="C2:D2"/>
    <mergeCell ref="E2:F2"/>
    <mergeCell ref="G2:H2"/>
    <mergeCell ref="J2:K2"/>
    <mergeCell ref="L2:M2"/>
    <mergeCell ref="O2:O4"/>
    <mergeCell ref="C3:D3"/>
    <mergeCell ref="E3:F3"/>
    <mergeCell ref="G3:H3"/>
  </mergeCells>
  <printOptions horizontalCentered="1"/>
  <pageMargins left="0" right="0" top="0.55118110236220474" bottom="0.55118110236220474" header="0.31496062992125984" footer="0.31496062992125984"/>
  <pageSetup paperSize="9" scale="64" orientation="landscape" horizontalDpi="180" verticalDpi="18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Уровень исп. ГЗ</vt:lpstr>
      <vt:lpstr>Оценка эффективности рук.</vt:lpstr>
      <vt:lpstr>'Оценка эффективности рук.'!Область_печати</vt:lpstr>
      <vt:lpstr>'Уровень исп. ГЗ'!Область_печати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Musya</dc:creator>
  <cp:lastModifiedBy>Musya</cp:lastModifiedBy>
  <cp:lastPrinted>2021-08-02T14:27:31Z</cp:lastPrinted>
  <dcterms:created xsi:type="dcterms:W3CDTF">2021-08-02T14:27:21Z</dcterms:created>
  <dcterms:modified xsi:type="dcterms:W3CDTF">2021-08-02T14:27:45Z</dcterms:modified>
</cp:coreProperties>
</file>